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eri\Director\Cache\objective.cgd.vic.gov.au uA453120\A7952919\"/>
    </mc:Choice>
  </mc:AlternateContent>
  <xr:revisionPtr revIDLastSave="0" documentId="13_ncr:1_{BDC993E6-2B38-4735-9281-7DC0B32A177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4-25 FY - EA 2022 Y3" sheetId="6" r:id="rId1"/>
    <sheet name="EA 2022" sheetId="11" r:id="rId2"/>
    <sheet name="Rates" sheetId="5" r:id="rId3"/>
    <sheet name="SGC" sheetId="8" r:id="rId4"/>
    <sheet name="Phasing" sheetId="2" r:id="rId5"/>
    <sheet name="Ctt override rate calc" sheetId="7" r:id="rId6"/>
    <sheet name="EA 2022 Bandings Y1 &amp; Y2" sheetId="10" r:id="rId7"/>
    <sheet name="Leave Codes" sheetId="12" r:id="rId8"/>
    <sheet name="Allowance Codes" sheetId="13" r:id="rId9"/>
  </sheets>
  <definedNames>
    <definedName name="Banding_Level" localSheetId="0">'2024-25 FY - EA 2022 Y3'!$L$4:$M$123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" i="6" l="1"/>
  <c r="X4" i="6"/>
  <c r="L5" i="5"/>
  <c r="AH5" i="6" s="1"/>
  <c r="AP3" i="6"/>
  <c r="AK6" i="6"/>
  <c r="B5" i="5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R52" i="2"/>
  <c r="Q52" i="2"/>
  <c r="P52" i="2"/>
  <c r="O52" i="2"/>
  <c r="N52" i="2"/>
  <c r="M52" i="2"/>
  <c r="L52" i="2"/>
  <c r="K52" i="2"/>
  <c r="J52" i="2"/>
  <c r="I52" i="2"/>
  <c r="H52" i="2"/>
  <c r="G52" i="2"/>
  <c r="J65" i="6"/>
  <c r="K65" i="6" s="1"/>
  <c r="H65" i="6"/>
  <c r="J64" i="6"/>
  <c r="K64" i="6" s="1"/>
  <c r="H64" i="6"/>
  <c r="J63" i="6"/>
  <c r="K63" i="6" s="1"/>
  <c r="H63" i="6"/>
  <c r="J62" i="6"/>
  <c r="K62" i="6" s="1"/>
  <c r="H62" i="6"/>
  <c r="J61" i="6"/>
  <c r="K61" i="6" s="1"/>
  <c r="H61" i="6"/>
  <c r="J60" i="6"/>
  <c r="K60" i="6" s="1"/>
  <c r="H60" i="6"/>
  <c r="J59" i="6"/>
  <c r="K59" i="6" s="1"/>
  <c r="H59" i="6"/>
  <c r="J58" i="6"/>
  <c r="K58" i="6" s="1"/>
  <c r="H58" i="6"/>
  <c r="J57" i="6"/>
  <c r="K57" i="6" s="1"/>
  <c r="H57" i="6"/>
  <c r="J56" i="6"/>
  <c r="K56" i="6" s="1"/>
  <c r="H56" i="6"/>
  <c r="J55" i="6"/>
  <c r="K55" i="6" s="1"/>
  <c r="H55" i="6"/>
  <c r="J54" i="6"/>
  <c r="K54" i="6" s="1"/>
  <c r="H54" i="6"/>
  <c r="J53" i="6"/>
  <c r="K53" i="6" s="1"/>
  <c r="H53" i="6"/>
  <c r="J52" i="6"/>
  <c r="K52" i="6" s="1"/>
  <c r="H52" i="6"/>
  <c r="E52" i="6"/>
  <c r="C52" i="6"/>
  <c r="J51" i="6"/>
  <c r="K51" i="6" s="1"/>
  <c r="H51" i="6"/>
  <c r="E51" i="6"/>
  <c r="C51" i="6"/>
  <c r="K50" i="6"/>
  <c r="J50" i="6"/>
  <c r="H50" i="6"/>
  <c r="E50" i="6"/>
  <c r="C50" i="6"/>
  <c r="K49" i="6"/>
  <c r="J49" i="6"/>
  <c r="H49" i="6"/>
  <c r="E49" i="6"/>
  <c r="C49" i="6"/>
  <c r="J48" i="6"/>
  <c r="K48" i="6" s="1"/>
  <c r="H48" i="6"/>
  <c r="E48" i="6"/>
  <c r="C48" i="6"/>
  <c r="J47" i="6"/>
  <c r="K47" i="6" s="1"/>
  <c r="H47" i="6"/>
  <c r="E47" i="6"/>
  <c r="C47" i="6"/>
  <c r="J46" i="6"/>
  <c r="K46" i="6" s="1"/>
  <c r="H46" i="6"/>
  <c r="E46" i="6"/>
  <c r="C46" i="6"/>
  <c r="J45" i="6"/>
  <c r="K45" i="6" s="1"/>
  <c r="H45" i="6"/>
  <c r="E45" i="6"/>
  <c r="C45" i="6"/>
  <c r="J44" i="6"/>
  <c r="K44" i="6" s="1"/>
  <c r="H44" i="6"/>
  <c r="E44" i="6"/>
  <c r="C44" i="6"/>
  <c r="J43" i="6"/>
  <c r="K43" i="6" s="1"/>
  <c r="H43" i="6"/>
  <c r="E43" i="6"/>
  <c r="C43" i="6"/>
  <c r="J42" i="6"/>
  <c r="K42" i="6" s="1"/>
  <c r="H42" i="6"/>
  <c r="E42" i="6"/>
  <c r="C42" i="6"/>
  <c r="J41" i="6"/>
  <c r="K41" i="6" s="1"/>
  <c r="H41" i="6"/>
  <c r="E41" i="6"/>
  <c r="C41" i="6"/>
  <c r="J40" i="6"/>
  <c r="K40" i="6" s="1"/>
  <c r="H40" i="6"/>
  <c r="E40" i="6"/>
  <c r="C40" i="6"/>
  <c r="J39" i="6"/>
  <c r="K39" i="6" s="1"/>
  <c r="H39" i="6"/>
  <c r="E39" i="6"/>
  <c r="C39" i="6"/>
  <c r="J38" i="6"/>
  <c r="K38" i="6" s="1"/>
  <c r="H38" i="6"/>
  <c r="E38" i="6"/>
  <c r="C38" i="6"/>
  <c r="J37" i="6"/>
  <c r="K37" i="6" s="1"/>
  <c r="H37" i="6"/>
  <c r="E37" i="6"/>
  <c r="C37" i="6"/>
  <c r="J36" i="6"/>
  <c r="K36" i="6" s="1"/>
  <c r="H36" i="6"/>
  <c r="E36" i="6"/>
  <c r="C36" i="6"/>
  <c r="J35" i="6"/>
  <c r="K35" i="6" s="1"/>
  <c r="H35" i="6"/>
  <c r="E35" i="6"/>
  <c r="C35" i="6"/>
  <c r="J34" i="6"/>
  <c r="K34" i="6" s="1"/>
  <c r="H34" i="6"/>
  <c r="E34" i="6"/>
  <c r="C34" i="6"/>
  <c r="AL6" i="6"/>
  <c r="AM6" i="6"/>
  <c r="AN6" i="6"/>
  <c r="AO6" i="6"/>
  <c r="AP6" i="6"/>
  <c r="AO3" i="6"/>
  <c r="T8" i="6"/>
  <c r="T16" i="6"/>
  <c r="T24" i="6"/>
  <c r="T32" i="6"/>
  <c r="T67" i="6"/>
  <c r="T68" i="6"/>
  <c r="T69" i="6"/>
  <c r="T70" i="6"/>
  <c r="T71" i="6"/>
  <c r="T72" i="6"/>
  <c r="T73" i="6"/>
  <c r="T74" i="6"/>
  <c r="T75" i="6"/>
  <c r="T76" i="6"/>
  <c r="R9" i="6"/>
  <c r="R17" i="6"/>
  <c r="R25" i="6"/>
  <c r="R33" i="6"/>
  <c r="R67" i="6"/>
  <c r="R68" i="6"/>
  <c r="R69" i="6"/>
  <c r="R70" i="6"/>
  <c r="R71" i="6"/>
  <c r="R72" i="6"/>
  <c r="R73" i="6"/>
  <c r="R74" i="6"/>
  <c r="R75" i="6"/>
  <c r="R76" i="6"/>
  <c r="T4" i="6"/>
  <c r="R5" i="6"/>
  <c r="R6" i="6"/>
  <c r="R7" i="6"/>
  <c r="R8" i="6"/>
  <c r="T9" i="6"/>
  <c r="R10" i="6"/>
  <c r="T11" i="6"/>
  <c r="R12" i="6"/>
  <c r="R13" i="6"/>
  <c r="R14" i="6"/>
  <c r="R15" i="6"/>
  <c r="R16" i="6"/>
  <c r="T17" i="6"/>
  <c r="R18" i="6"/>
  <c r="T19" i="6"/>
  <c r="R20" i="6"/>
  <c r="R21" i="6"/>
  <c r="R22" i="6"/>
  <c r="R23" i="6"/>
  <c r="R24" i="6"/>
  <c r="T25" i="6"/>
  <c r="R26" i="6"/>
  <c r="T27" i="6"/>
  <c r="R28" i="6"/>
  <c r="R29" i="6"/>
  <c r="R30" i="6"/>
  <c r="R31" i="6"/>
  <c r="R32" i="6"/>
  <c r="T33" i="6"/>
  <c r="R27" i="6" l="1"/>
  <c r="R19" i="6"/>
  <c r="R11" i="6"/>
  <c r="T26" i="6"/>
  <c r="T18" i="6"/>
  <c r="T10" i="6"/>
  <c r="T31" i="6"/>
  <c r="T23" i="6"/>
  <c r="T15" i="6"/>
  <c r="T7" i="6"/>
  <c r="T30" i="6"/>
  <c r="T22" i="6"/>
  <c r="T14" i="6"/>
  <c r="T6" i="6"/>
  <c r="T29" i="6"/>
  <c r="T21" i="6"/>
  <c r="T13" i="6"/>
  <c r="T5" i="6"/>
  <c r="R4" i="6"/>
  <c r="T28" i="6"/>
  <c r="T20" i="6"/>
  <c r="T12" i="6"/>
  <c r="X7" i="6"/>
  <c r="AK7" i="6" s="1"/>
  <c r="C65" i="2"/>
  <c r="B65" i="2"/>
  <c r="R50" i="2"/>
  <c r="M50" i="2"/>
  <c r="L50" i="2"/>
  <c r="K50" i="2"/>
  <c r="J50" i="2"/>
  <c r="Q50" i="2"/>
  <c r="P50" i="2"/>
  <c r="O50" i="2"/>
  <c r="N50" i="2"/>
  <c r="I50" i="2"/>
  <c r="H50" i="2"/>
  <c r="G50" i="2"/>
  <c r="R47" i="6" l="1"/>
  <c r="T47" i="6"/>
  <c r="R62" i="6"/>
  <c r="T62" i="6"/>
  <c r="R54" i="6"/>
  <c r="T54" i="6"/>
  <c r="R46" i="6"/>
  <c r="T46" i="6"/>
  <c r="R38" i="6"/>
  <c r="T38" i="6"/>
  <c r="R39" i="6"/>
  <c r="T39" i="6"/>
  <c r="T61" i="6"/>
  <c r="R61" i="6"/>
  <c r="T53" i="6"/>
  <c r="R53" i="6"/>
  <c r="T45" i="6"/>
  <c r="R45" i="6"/>
  <c r="T37" i="6"/>
  <c r="R37" i="6"/>
  <c r="T60" i="6"/>
  <c r="R60" i="6"/>
  <c r="T52" i="6"/>
  <c r="R52" i="6"/>
  <c r="T44" i="6"/>
  <c r="R44" i="6"/>
  <c r="T36" i="6"/>
  <c r="R36" i="6"/>
  <c r="R55" i="6"/>
  <c r="T55" i="6"/>
  <c r="R35" i="6"/>
  <c r="T35" i="6"/>
  <c r="R59" i="6"/>
  <c r="T59" i="6"/>
  <c r="R51" i="6"/>
  <c r="T51" i="6"/>
  <c r="T66" i="6"/>
  <c r="R58" i="6"/>
  <c r="T58" i="6"/>
  <c r="R50" i="6"/>
  <c r="T50" i="6"/>
  <c r="R63" i="6"/>
  <c r="T63" i="6"/>
  <c r="R65" i="6"/>
  <c r="T65" i="6"/>
  <c r="R57" i="6"/>
  <c r="T57" i="6"/>
  <c r="R49" i="6"/>
  <c r="T49" i="6"/>
  <c r="R41" i="6"/>
  <c r="T41" i="6"/>
  <c r="R64" i="6"/>
  <c r="T64" i="6"/>
  <c r="R56" i="6"/>
  <c r="T56" i="6"/>
  <c r="R48" i="6"/>
  <c r="T48" i="6"/>
  <c r="R40" i="6"/>
  <c r="T40" i="6"/>
  <c r="R34" i="6"/>
  <c r="T3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M4" i="6"/>
  <c r="R42" i="6" l="1"/>
  <c r="T42" i="6"/>
  <c r="R43" i="6"/>
  <c r="T43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5" i="6"/>
  <c r="H6" i="6"/>
  <c r="H7" i="6"/>
  <c r="H8" i="6"/>
  <c r="H9" i="6"/>
  <c r="H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4" i="6"/>
  <c r="F36" i="2" l="1"/>
  <c r="D3" i="6"/>
  <c r="E3" i="6" s="1"/>
  <c r="C7" i="5"/>
  <c r="C5" i="5" l="1"/>
  <c r="Y5" i="6" s="1"/>
  <c r="Y6" i="6" s="1"/>
  <c r="X5" i="6" l="1"/>
  <c r="V26" i="6" l="1"/>
  <c r="B6" i="5" l="1"/>
  <c r="K5" i="5" l="1"/>
  <c r="AG5" i="6" s="1"/>
  <c r="J5" i="5"/>
  <c r="AF5" i="6" s="1"/>
  <c r="I5" i="5"/>
  <c r="AE5" i="6" s="1"/>
  <c r="AG25" i="6"/>
  <c r="AF25" i="6"/>
  <c r="AE25" i="6"/>
  <c r="AD25" i="6"/>
  <c r="AC25" i="6"/>
  <c r="D5" i="5"/>
  <c r="Z5" i="6" s="1"/>
  <c r="Z4" i="6" s="1"/>
  <c r="E5" i="5"/>
  <c r="AA5" i="6" s="1"/>
  <c r="F5" i="5"/>
  <c r="AB5" i="6" s="1"/>
  <c r="G5" i="5"/>
  <c r="AC5" i="6" s="1"/>
  <c r="H5" i="5"/>
  <c r="AD5" i="6" s="1"/>
  <c r="AD20" i="6" s="1"/>
  <c r="AA4" i="6" l="1"/>
  <c r="AD17" i="6"/>
  <c r="AD18" i="6"/>
  <c r="AD19" i="6"/>
  <c r="AD21" i="6" l="1"/>
  <c r="AD13" i="6" s="1"/>
  <c r="D7" i="5"/>
  <c r="C6" i="5" l="1"/>
  <c r="E7" i="5"/>
  <c r="D6" i="5"/>
  <c r="DC2" i="7"/>
  <c r="F7" i="5" l="1"/>
  <c r="E6" i="5"/>
  <c r="CZ6" i="7"/>
  <c r="CR16" i="7"/>
  <c r="CX13" i="7"/>
  <c r="CX3" i="7" s="1"/>
  <c r="CV13" i="7"/>
  <c r="CU13" i="7"/>
  <c r="CU3" i="7" s="1"/>
  <c r="CT13" i="7"/>
  <c r="CT3" i="7" s="1"/>
  <c r="CS13" i="7"/>
  <c r="CS3" i="7" s="1"/>
  <c r="CR13" i="7"/>
  <c r="CR3" i="7" s="1"/>
  <c r="CQ13" i="7"/>
  <c r="CQ3" i="7" s="1"/>
  <c r="CP13" i="7"/>
  <c r="CP3" i="7" s="1"/>
  <c r="CO13" i="7"/>
  <c r="CO3" i="7" s="1"/>
  <c r="CV3" i="7"/>
  <c r="G7" i="5" l="1"/>
  <c r="H7" i="5" s="1"/>
  <c r="I7" i="5" s="1"/>
  <c r="F6" i="5"/>
  <c r="DA3" i="7"/>
  <c r="DB3" i="7" s="1"/>
  <c r="DC3" i="7" s="1"/>
  <c r="CZ3" i="7"/>
  <c r="CZ7" i="7" s="1"/>
  <c r="J7" i="5" l="1"/>
  <c r="I6" i="5"/>
  <c r="G6" i="5"/>
  <c r="K7" i="5" l="1"/>
  <c r="L7" i="5" s="1"/>
  <c r="L6" i="5" s="1"/>
  <c r="J6" i="5"/>
  <c r="H6" i="5"/>
  <c r="K6" i="5" l="1"/>
  <c r="C48" i="2"/>
  <c r="B48" i="2"/>
  <c r="R35" i="2" l="1"/>
  <c r="G35" i="2"/>
  <c r="N35" i="2"/>
  <c r="L35" i="2"/>
  <c r="O35" i="2"/>
  <c r="H35" i="2"/>
  <c r="P35" i="2"/>
  <c r="K35" i="2"/>
  <c r="I35" i="2"/>
  <c r="Q35" i="2"/>
  <c r="M35" i="2"/>
  <c r="J35" i="2"/>
  <c r="G33" i="2" l="1"/>
  <c r="K33" i="2"/>
  <c r="I33" i="2"/>
  <c r="P33" i="2"/>
  <c r="H33" i="2"/>
  <c r="J33" i="2"/>
  <c r="O33" i="2"/>
  <c r="M33" i="2"/>
  <c r="L33" i="2"/>
  <c r="Q33" i="2"/>
  <c r="N33" i="2"/>
  <c r="R33" i="2"/>
  <c r="AL3" i="6"/>
  <c r="AM3" i="6"/>
  <c r="AN3" i="6"/>
  <c r="AK3" i="6"/>
  <c r="Y17" i="6"/>
  <c r="O3" i="5"/>
  <c r="Y20" i="6"/>
  <c r="Y19" i="6"/>
  <c r="Y18" i="6"/>
  <c r="E33" i="6"/>
  <c r="E32" i="6"/>
  <c r="E31" i="6"/>
  <c r="E30" i="6"/>
  <c r="E29" i="6"/>
  <c r="E28" i="6"/>
  <c r="E27" i="6"/>
  <c r="E26" i="6"/>
  <c r="AH25" i="6"/>
  <c r="AB25" i="6"/>
  <c r="AA25" i="6"/>
  <c r="Z25" i="6"/>
  <c r="Y25" i="6"/>
  <c r="X25" i="6"/>
  <c r="E25" i="6"/>
  <c r="E24" i="6"/>
  <c r="E23" i="6"/>
  <c r="E22" i="6"/>
  <c r="X21" i="6"/>
  <c r="X13" i="6" s="1"/>
  <c r="F42" i="2" s="1"/>
  <c r="E21" i="6"/>
  <c r="E20" i="6"/>
  <c r="E19" i="6"/>
  <c r="E18" i="6"/>
  <c r="E17" i="6"/>
  <c r="E16" i="6"/>
  <c r="E15" i="6"/>
  <c r="V14" i="6"/>
  <c r="E14" i="6"/>
  <c r="E13" i="6"/>
  <c r="E12" i="6"/>
  <c r="E11" i="6"/>
  <c r="E10" i="6"/>
  <c r="E9" i="6"/>
  <c r="E8" i="6"/>
  <c r="E7" i="6"/>
  <c r="E6" i="6"/>
  <c r="E5" i="6"/>
  <c r="E4" i="6"/>
  <c r="S3" i="6"/>
  <c r="T3" i="6" s="1"/>
  <c r="N3" i="6"/>
  <c r="O3" i="6" s="1"/>
  <c r="I3" i="6"/>
  <c r="J3" i="6" s="1"/>
  <c r="Z18" i="6" l="1"/>
  <c r="AA18" i="6" s="1"/>
  <c r="AE18" i="6"/>
  <c r="Z19" i="6"/>
  <c r="AA19" i="6" s="1"/>
  <c r="AE19" i="6"/>
  <c r="Z20" i="6"/>
  <c r="AF20" i="6" s="1"/>
  <c r="AE20" i="6"/>
  <c r="Z17" i="6"/>
  <c r="AA17" i="6" s="1"/>
  <c r="AG17" i="6" s="1"/>
  <c r="AE17" i="6"/>
  <c r="K19" i="6"/>
  <c r="Y21" i="6"/>
  <c r="Y13" i="6" s="1"/>
  <c r="F59" i="2" s="1"/>
  <c r="K14" i="6"/>
  <c r="K12" i="6"/>
  <c r="K5" i="6"/>
  <c r="K17" i="6"/>
  <c r="K25" i="6"/>
  <c r="K28" i="6"/>
  <c r="K21" i="6"/>
  <c r="K7" i="6"/>
  <c r="K24" i="6"/>
  <c r="K30" i="6"/>
  <c r="AK13" i="6"/>
  <c r="K11" i="6"/>
  <c r="K13" i="6"/>
  <c r="K31" i="6"/>
  <c r="K20" i="6"/>
  <c r="K9" i="6"/>
  <c r="K23" i="6"/>
  <c r="K6" i="6"/>
  <c r="K22" i="6"/>
  <c r="K10" i="6"/>
  <c r="K8" i="6"/>
  <c r="K15" i="6"/>
  <c r="K27" i="6"/>
  <c r="K32" i="6"/>
  <c r="K16" i="6"/>
  <c r="K18" i="6"/>
  <c r="K29" i="6"/>
  <c r="K33" i="6"/>
  <c r="Q59" i="2" l="1"/>
  <c r="P59" i="2"/>
  <c r="O59" i="2"/>
  <c r="N59" i="2"/>
  <c r="M59" i="2"/>
  <c r="G59" i="2"/>
  <c r="L59" i="2"/>
  <c r="H59" i="2"/>
  <c r="J59" i="2"/>
  <c r="K59" i="2"/>
  <c r="I59" i="2"/>
  <c r="R59" i="2"/>
  <c r="K26" i="6"/>
  <c r="AA20" i="6"/>
  <c r="AG20" i="6" s="1"/>
  <c r="AE21" i="6"/>
  <c r="AE13" i="6" s="1"/>
  <c r="AF17" i="6"/>
  <c r="AG18" i="6"/>
  <c r="AC18" i="6"/>
  <c r="AB18" i="6"/>
  <c r="AH18" i="6" s="1"/>
  <c r="AG19" i="6"/>
  <c r="AB19" i="6"/>
  <c r="AH19" i="6" s="1"/>
  <c r="AC19" i="6"/>
  <c r="AL13" i="6"/>
  <c r="AF19" i="6"/>
  <c r="AF18" i="6"/>
  <c r="AC17" i="6"/>
  <c r="AB17" i="6"/>
  <c r="AH17" i="6" s="1"/>
  <c r="G42" i="2"/>
  <c r="I42" i="2"/>
  <c r="R42" i="2"/>
  <c r="H42" i="2"/>
  <c r="L42" i="2"/>
  <c r="N42" i="2"/>
  <c r="O42" i="2"/>
  <c r="M42" i="2"/>
  <c r="K42" i="2"/>
  <c r="J42" i="2"/>
  <c r="Q42" i="2"/>
  <c r="P42" i="2"/>
  <c r="J4" i="6"/>
  <c r="Z21" i="6"/>
  <c r="Z13" i="6" s="1"/>
  <c r="AM13" i="6" s="1"/>
  <c r="O4" i="6"/>
  <c r="S59" i="2" l="1"/>
  <c r="AB20" i="6"/>
  <c r="AH20" i="6" s="1"/>
  <c r="AC20" i="6"/>
  <c r="AC21" i="6" s="1"/>
  <c r="AC13" i="6" s="1"/>
  <c r="AP13" i="6" s="1"/>
  <c r="AF21" i="6"/>
  <c r="AF13" i="6" s="1"/>
  <c r="AG21" i="6"/>
  <c r="AG13" i="6" s="1"/>
  <c r="K4" i="6"/>
  <c r="AA21" i="6"/>
  <c r="X26" i="6" l="1"/>
  <c r="X27" i="6" s="1"/>
  <c r="X12" i="6"/>
  <c r="F41" i="2" s="1"/>
  <c r="X48" i="6"/>
  <c r="AA13" i="6"/>
  <c r="AN13" i="6" s="1"/>
  <c r="AH21" i="6"/>
  <c r="AB21" i="6"/>
  <c r="AK12" i="6" l="1"/>
  <c r="X43" i="6"/>
  <c r="X39" i="6"/>
  <c r="X42" i="6"/>
  <c r="X40" i="6"/>
  <c r="X38" i="6"/>
  <c r="X41" i="6"/>
  <c r="Y26" i="6"/>
  <c r="Y27" i="6" s="1"/>
  <c r="Y28" i="6" s="1"/>
  <c r="Y12" i="6"/>
  <c r="F58" i="2" s="1"/>
  <c r="Y7" i="6"/>
  <c r="Y48" i="6"/>
  <c r="X47" i="6"/>
  <c r="AH13" i="6"/>
  <c r="AB13" i="6"/>
  <c r="AO13" i="6" s="1"/>
  <c r="F53" i="2" l="1"/>
  <c r="I53" i="2" s="1"/>
  <c r="AL7" i="6"/>
  <c r="R58" i="2"/>
  <c r="J58" i="2"/>
  <c r="Q58" i="2"/>
  <c r="P58" i="2"/>
  <c r="O58" i="2"/>
  <c r="N58" i="2"/>
  <c r="K58" i="2"/>
  <c r="I58" i="2"/>
  <c r="M58" i="2"/>
  <c r="G58" i="2"/>
  <c r="L58" i="2"/>
  <c r="H58" i="2"/>
  <c r="Y40" i="6"/>
  <c r="AD40" i="6"/>
  <c r="AL12" i="6"/>
  <c r="Y39" i="6"/>
  <c r="AD39" i="6"/>
  <c r="Y43" i="6"/>
  <c r="AD43" i="6"/>
  <c r="Y42" i="6"/>
  <c r="AD42" i="6"/>
  <c r="Z48" i="6"/>
  <c r="Z7" i="6"/>
  <c r="AM7" i="6" s="1"/>
  <c r="Z12" i="6"/>
  <c r="AM12" i="6" s="1"/>
  <c r="Z26" i="6"/>
  <c r="Z27" i="6" s="1"/>
  <c r="Z28" i="6" s="1"/>
  <c r="Z6" i="6"/>
  <c r="X49" i="6"/>
  <c r="X9" i="6" s="1"/>
  <c r="F38" i="2" s="1"/>
  <c r="AD41" i="6"/>
  <c r="Y41" i="6"/>
  <c r="Y47" i="6"/>
  <c r="AD38" i="6"/>
  <c r="Y38" i="6"/>
  <c r="X44" i="6"/>
  <c r="X8" i="6" s="1"/>
  <c r="H53" i="2" l="1"/>
  <c r="L53" i="2"/>
  <c r="Q53" i="2"/>
  <c r="G53" i="2"/>
  <c r="P53" i="2"/>
  <c r="M53" i="2"/>
  <c r="N53" i="2"/>
  <c r="R53" i="2"/>
  <c r="O53" i="2"/>
  <c r="K53" i="2"/>
  <c r="J53" i="2"/>
  <c r="F37" i="2"/>
  <c r="S58" i="2"/>
  <c r="AK9" i="6"/>
  <c r="X11" i="6"/>
  <c r="X10" i="6" s="1"/>
  <c r="AB4" i="6"/>
  <c r="AA48" i="6"/>
  <c r="AA7" i="6"/>
  <c r="AA12" i="6"/>
  <c r="AN12" i="6" s="1"/>
  <c r="AA26" i="6"/>
  <c r="AA27" i="6" s="1"/>
  <c r="AA28" i="6" s="1"/>
  <c r="AA6" i="6"/>
  <c r="Z39" i="6"/>
  <c r="AE39" i="6"/>
  <c r="AK8" i="6"/>
  <c r="Z47" i="6"/>
  <c r="AE38" i="6"/>
  <c r="Z38" i="6"/>
  <c r="Y44" i="6"/>
  <c r="Y8" i="6" s="1"/>
  <c r="F54" i="2" s="1"/>
  <c r="J36" i="2"/>
  <c r="O36" i="2"/>
  <c r="R36" i="2"/>
  <c r="M36" i="2"/>
  <c r="H36" i="2"/>
  <c r="G36" i="2"/>
  <c r="N36" i="2"/>
  <c r="I36" i="2"/>
  <c r="Q36" i="2"/>
  <c r="P36" i="2"/>
  <c r="L36" i="2"/>
  <c r="K36" i="2"/>
  <c r="G41" i="2"/>
  <c r="I41" i="2"/>
  <c r="Q41" i="2"/>
  <c r="M41" i="2"/>
  <c r="L41" i="2"/>
  <c r="O41" i="2"/>
  <c r="K41" i="2"/>
  <c r="R41" i="2"/>
  <c r="H41" i="2"/>
  <c r="P41" i="2"/>
  <c r="J41" i="2"/>
  <c r="N41" i="2"/>
  <c r="AE41" i="6"/>
  <c r="Z41" i="6"/>
  <c r="Z43" i="6"/>
  <c r="AE43" i="6"/>
  <c r="AD44" i="6"/>
  <c r="AD8" i="6" s="1"/>
  <c r="Y49" i="6"/>
  <c r="Y50" i="6" s="1"/>
  <c r="Z42" i="6"/>
  <c r="AE42" i="6"/>
  <c r="AE40" i="6"/>
  <c r="Z40" i="6"/>
  <c r="S53" i="2" l="1"/>
  <c r="N54" i="2"/>
  <c r="M54" i="2"/>
  <c r="G54" i="2"/>
  <c r="L54" i="2"/>
  <c r="H54" i="2"/>
  <c r="K54" i="2"/>
  <c r="I54" i="2"/>
  <c r="R54" i="2"/>
  <c r="J54" i="2"/>
  <c r="Q54" i="2"/>
  <c r="O54" i="2"/>
  <c r="P54" i="2"/>
  <c r="F39" i="2"/>
  <c r="F40" i="2"/>
  <c r="Z49" i="6"/>
  <c r="Z50" i="6" s="1"/>
  <c r="AA43" i="6"/>
  <c r="AF43" i="6"/>
  <c r="AB48" i="6"/>
  <c r="AB12" i="6"/>
  <c r="AO12" i="6" s="1"/>
  <c r="AB7" i="6"/>
  <c r="AB6" i="6"/>
  <c r="AC4" i="6"/>
  <c r="AB26" i="6"/>
  <c r="AB27" i="6" s="1"/>
  <c r="AB28" i="6" s="1"/>
  <c r="AA41" i="6"/>
  <c r="AF41" i="6"/>
  <c r="AA39" i="6"/>
  <c r="AF39" i="6"/>
  <c r="AA40" i="6"/>
  <c r="AF40" i="6"/>
  <c r="AA42" i="6"/>
  <c r="AF42" i="6"/>
  <c r="AL8" i="6"/>
  <c r="AK11" i="6"/>
  <c r="Y9" i="6"/>
  <c r="F55" i="2" s="1"/>
  <c r="AF38" i="6"/>
  <c r="Z44" i="6"/>
  <c r="Z8" i="6" s="1"/>
  <c r="AA38" i="6"/>
  <c r="AA47" i="6"/>
  <c r="AA49" i="6" s="1"/>
  <c r="AN7" i="6"/>
  <c r="AE44" i="6"/>
  <c r="AE8" i="6" s="1"/>
  <c r="M55" i="2" l="1"/>
  <c r="G55" i="2"/>
  <c r="L55" i="2"/>
  <c r="H55" i="2"/>
  <c r="K55" i="2"/>
  <c r="I55" i="2"/>
  <c r="R55" i="2"/>
  <c r="J55" i="2"/>
  <c r="Q55" i="2"/>
  <c r="P55" i="2"/>
  <c r="O55" i="2"/>
  <c r="N55" i="2"/>
  <c r="S54" i="2"/>
  <c r="AK10" i="6"/>
  <c r="AK14" i="6" s="1"/>
  <c r="X14" i="6"/>
  <c r="AA50" i="6"/>
  <c r="I37" i="2"/>
  <c r="K37" i="2"/>
  <c r="M37" i="2"/>
  <c r="G37" i="2"/>
  <c r="J37" i="2"/>
  <c r="R37" i="2"/>
  <c r="Q37" i="2"/>
  <c r="L37" i="2"/>
  <c r="N37" i="2"/>
  <c r="H37" i="2"/>
  <c r="O37" i="2"/>
  <c r="P37" i="2"/>
  <c r="AC41" i="6"/>
  <c r="AG41" i="6"/>
  <c r="AB41" i="6"/>
  <c r="AH41" i="6" s="1"/>
  <c r="AG43" i="6"/>
  <c r="AC43" i="6"/>
  <c r="AB43" i="6"/>
  <c r="AH43" i="6" s="1"/>
  <c r="AG42" i="6"/>
  <c r="AB42" i="6"/>
  <c r="AH42" i="6" s="1"/>
  <c r="AC42" i="6"/>
  <c r="Z9" i="6"/>
  <c r="AC38" i="6"/>
  <c r="AB38" i="6"/>
  <c r="AG38" i="6"/>
  <c r="AA44" i="6"/>
  <c r="AA8" i="6" s="1"/>
  <c r="AN8" i="6" s="1"/>
  <c r="AL9" i="6"/>
  <c r="Y11" i="6"/>
  <c r="F57" i="2" s="1"/>
  <c r="AC12" i="6"/>
  <c r="AP12" i="6" s="1"/>
  <c r="AC7" i="6"/>
  <c r="AD4" i="6"/>
  <c r="AC48" i="6"/>
  <c r="AC26" i="6"/>
  <c r="AC27" i="6" s="1"/>
  <c r="AC28" i="6" s="1"/>
  <c r="AC6" i="6"/>
  <c r="AA9" i="6"/>
  <c r="AC40" i="6"/>
  <c r="AB40" i="6"/>
  <c r="AH40" i="6" s="1"/>
  <c r="AG40" i="6"/>
  <c r="AF44" i="6"/>
  <c r="AF8" i="6" s="1"/>
  <c r="AB47" i="6"/>
  <c r="AB49" i="6" s="1"/>
  <c r="AB50" i="6" s="1"/>
  <c r="AO7" i="6"/>
  <c r="AM8" i="6"/>
  <c r="AB39" i="6"/>
  <c r="AH39" i="6" s="1"/>
  <c r="AC39" i="6"/>
  <c r="AG39" i="6"/>
  <c r="AC47" i="6" l="1"/>
  <c r="AP7" i="6"/>
  <c r="K57" i="2"/>
  <c r="I57" i="2"/>
  <c r="R57" i="2"/>
  <c r="J57" i="2"/>
  <c r="Q57" i="2"/>
  <c r="P57" i="2"/>
  <c r="O57" i="2"/>
  <c r="N57" i="2"/>
  <c r="L57" i="2"/>
  <c r="M57" i="2"/>
  <c r="G57" i="2"/>
  <c r="H57" i="2"/>
  <c r="AK15" i="6"/>
  <c r="S55" i="2"/>
  <c r="AC49" i="6"/>
  <c r="AC9" i="6" s="1"/>
  <c r="AN9" i="6"/>
  <c r="AA11" i="6"/>
  <c r="AL11" i="6"/>
  <c r="AM9" i="6"/>
  <c r="Z11" i="6"/>
  <c r="AM11" i="6" s="1"/>
  <c r="H38" i="2"/>
  <c r="R38" i="2"/>
  <c r="M38" i="2"/>
  <c r="K38" i="2"/>
  <c r="G38" i="2"/>
  <c r="L38" i="2"/>
  <c r="N38" i="2"/>
  <c r="I38" i="2"/>
  <c r="Q38" i="2"/>
  <c r="P38" i="2"/>
  <c r="O38" i="2"/>
  <c r="J38" i="2"/>
  <c r="AD48" i="6"/>
  <c r="AD6" i="6"/>
  <c r="AE4" i="6"/>
  <c r="AD7" i="6"/>
  <c r="AD47" i="6" s="1"/>
  <c r="AD26" i="6"/>
  <c r="AD27" i="6" s="1"/>
  <c r="AD28" i="6" s="1"/>
  <c r="AD12" i="6"/>
  <c r="AG44" i="6"/>
  <c r="AG8" i="6" s="1"/>
  <c r="AH38" i="6"/>
  <c r="AH44" i="6" s="1"/>
  <c r="AH8" i="6" s="1"/>
  <c r="AB44" i="6"/>
  <c r="AB8" i="6" s="1"/>
  <c r="AO8" i="6" s="1"/>
  <c r="AB9" i="6"/>
  <c r="Y10" i="6"/>
  <c r="F56" i="2" s="1"/>
  <c r="AC44" i="6"/>
  <c r="AC8" i="6" s="1"/>
  <c r="AP8" i="6" s="1"/>
  <c r="AC11" i="6" l="1"/>
  <c r="AP11" i="6" s="1"/>
  <c r="AP9" i="6"/>
  <c r="L56" i="2"/>
  <c r="L60" i="2" s="1"/>
  <c r="H56" i="2"/>
  <c r="K56" i="2"/>
  <c r="K60" i="2" s="1"/>
  <c r="I56" i="2"/>
  <c r="I60" i="2" s="1"/>
  <c r="R56" i="2"/>
  <c r="R60" i="2" s="1"/>
  <c r="J56" i="2"/>
  <c r="J60" i="2" s="1"/>
  <c r="Q56" i="2"/>
  <c r="Q60" i="2" s="1"/>
  <c r="P56" i="2"/>
  <c r="P60" i="2" s="1"/>
  <c r="O56" i="2"/>
  <c r="O60" i="2" s="1"/>
  <c r="M56" i="2"/>
  <c r="M60" i="2" s="1"/>
  <c r="G56" i="2"/>
  <c r="G60" i="2" s="1"/>
  <c r="N56" i="2"/>
  <c r="N60" i="2" s="1"/>
  <c r="S57" i="2"/>
  <c r="F60" i="2"/>
  <c r="AC50" i="6"/>
  <c r="AD49" i="6"/>
  <c r="AD50" i="6" s="1"/>
  <c r="AO9" i="6"/>
  <c r="AB11" i="6"/>
  <c r="AE12" i="6"/>
  <c r="AE7" i="6"/>
  <c r="AE47" i="6" s="1"/>
  <c r="AE26" i="6"/>
  <c r="AE27" i="6" s="1"/>
  <c r="AE28" i="6" s="1"/>
  <c r="AE6" i="6"/>
  <c r="AF4" i="6"/>
  <c r="AE48" i="6"/>
  <c r="K40" i="2"/>
  <c r="Q40" i="2"/>
  <c r="H40" i="2"/>
  <c r="L40" i="2"/>
  <c r="N40" i="2"/>
  <c r="J40" i="2"/>
  <c r="G40" i="2"/>
  <c r="M40" i="2"/>
  <c r="R40" i="2"/>
  <c r="P40" i="2"/>
  <c r="O40" i="2"/>
  <c r="I40" i="2"/>
  <c r="AC10" i="6"/>
  <c r="AA10" i="6"/>
  <c r="AN11" i="6"/>
  <c r="Z10" i="6"/>
  <c r="AL10" i="6"/>
  <c r="AL14" i="6" s="1"/>
  <c r="Y14" i="6"/>
  <c r="Y15" i="6" s="1"/>
  <c r="AC14" i="6" l="1"/>
  <c r="AP10" i="6"/>
  <c r="AP14" i="6" s="1"/>
  <c r="AP15" i="6" s="1"/>
  <c r="S56" i="2"/>
  <c r="H60" i="2"/>
  <c r="S60" i="2" s="1"/>
  <c r="AD9" i="6"/>
  <c r="AD11" i="6" s="1"/>
  <c r="AD10" i="6" s="1"/>
  <c r="AD14" i="6" s="1"/>
  <c r="AD15" i="6" s="1"/>
  <c r="M39" i="2"/>
  <c r="J39" i="2"/>
  <c r="R39" i="2"/>
  <c r="I39" i="2"/>
  <c r="Q39" i="2"/>
  <c r="P39" i="2"/>
  <c r="K39" i="2"/>
  <c r="O39" i="2"/>
  <c r="G39" i="2"/>
  <c r="N39" i="2"/>
  <c r="H39" i="2"/>
  <c r="L39" i="2"/>
  <c r="F43" i="2"/>
  <c r="AM10" i="6"/>
  <c r="AM14" i="6" s="1"/>
  <c r="Z14" i="6"/>
  <c r="Z15" i="6" s="1"/>
  <c r="AB10" i="6"/>
  <c r="AO11" i="6"/>
  <c r="AL15" i="6"/>
  <c r="AN10" i="6"/>
  <c r="AN14" i="6" s="1"/>
  <c r="AA14" i="6"/>
  <c r="AE49" i="6"/>
  <c r="AE50" i="6" s="1"/>
  <c r="AF48" i="6"/>
  <c r="AF26" i="6"/>
  <c r="AF27" i="6" s="1"/>
  <c r="AF28" i="6" s="1"/>
  <c r="AG4" i="6"/>
  <c r="AH4" i="6" s="1"/>
  <c r="AF12" i="6"/>
  <c r="AF7" i="6"/>
  <c r="AF6" i="6"/>
  <c r="AH12" i="6" l="1"/>
  <c r="AH7" i="6"/>
  <c r="AN15" i="6"/>
  <c r="AF47" i="6"/>
  <c r="AA15" i="6"/>
  <c r="AM15" i="6"/>
  <c r="AG26" i="6"/>
  <c r="AG27" i="6" s="1"/>
  <c r="AG28" i="6" s="1"/>
  <c r="AG12" i="6"/>
  <c r="AG48" i="6"/>
  <c r="AG6" i="6"/>
  <c r="AG7" i="6"/>
  <c r="AB14" i="6"/>
  <c r="AO10" i="6"/>
  <c r="AO14" i="6" s="1"/>
  <c r="AE9" i="6"/>
  <c r="AE11" i="6" s="1"/>
  <c r="AE10" i="6" s="1"/>
  <c r="AE14" i="6" s="1"/>
  <c r="AE15" i="6" s="1"/>
  <c r="B32" i="2"/>
  <c r="C32" i="2"/>
  <c r="AH6" i="6" l="1"/>
  <c r="AH26" i="6"/>
  <c r="AH27" i="6" s="1"/>
  <c r="AH28" i="6" s="1"/>
  <c r="AH48" i="6"/>
  <c r="AB15" i="6"/>
  <c r="AC15" i="6"/>
  <c r="AO15" i="6"/>
  <c r="AG47" i="6"/>
  <c r="AF49" i="6"/>
  <c r="AF50" i="6" s="1"/>
  <c r="R19" i="2"/>
  <c r="J19" i="2"/>
  <c r="Q19" i="2"/>
  <c r="I19" i="2"/>
  <c r="L19" i="2"/>
  <c r="P19" i="2"/>
  <c r="H19" i="2"/>
  <c r="O19" i="2"/>
  <c r="M19" i="2"/>
  <c r="G19" i="2"/>
  <c r="K19" i="2"/>
  <c r="N19" i="2"/>
  <c r="AH47" i="6" l="1"/>
  <c r="AH49" i="6" s="1"/>
  <c r="AG49" i="6"/>
  <c r="AG50" i="6" s="1"/>
  <c r="AF9" i="6"/>
  <c r="H25" i="2"/>
  <c r="H17" i="2"/>
  <c r="H26" i="2"/>
  <c r="H20" i="2"/>
  <c r="H22" i="2"/>
  <c r="H21" i="2"/>
  <c r="H24" i="2"/>
  <c r="H23" i="2"/>
  <c r="P21" i="2"/>
  <c r="P17" i="2"/>
  <c r="P26" i="2"/>
  <c r="P20" i="2"/>
  <c r="P22" i="2"/>
  <c r="P25" i="2"/>
  <c r="P24" i="2"/>
  <c r="P23" i="2"/>
  <c r="N20" i="2"/>
  <c r="N17" i="2"/>
  <c r="N26" i="2"/>
  <c r="N22" i="2"/>
  <c r="N25" i="2"/>
  <c r="N21" i="2"/>
  <c r="N24" i="2"/>
  <c r="N23" i="2"/>
  <c r="K17" i="2"/>
  <c r="K26" i="2"/>
  <c r="K20" i="2"/>
  <c r="K25" i="2"/>
  <c r="K22" i="2"/>
  <c r="K21" i="2"/>
  <c r="K24" i="2"/>
  <c r="K23" i="2"/>
  <c r="J17" i="2"/>
  <c r="J26" i="2"/>
  <c r="J20" i="2"/>
  <c r="J25" i="2"/>
  <c r="J22" i="2"/>
  <c r="J21" i="2"/>
  <c r="J24" i="2"/>
  <c r="J23" i="2"/>
  <c r="O20" i="2"/>
  <c r="O17" i="2"/>
  <c r="O26" i="2"/>
  <c r="O25" i="2"/>
  <c r="O22" i="2"/>
  <c r="O21" i="2"/>
  <c r="O24" i="2"/>
  <c r="O23" i="2"/>
  <c r="L17" i="2"/>
  <c r="L26" i="2"/>
  <c r="L20" i="2"/>
  <c r="L22" i="2"/>
  <c r="L25" i="2"/>
  <c r="L21" i="2"/>
  <c r="L24" i="2"/>
  <c r="L23" i="2"/>
  <c r="I25" i="2"/>
  <c r="I17" i="2"/>
  <c r="I26" i="2"/>
  <c r="I20" i="2"/>
  <c r="I22" i="2"/>
  <c r="I21" i="2"/>
  <c r="I24" i="2"/>
  <c r="I23" i="2"/>
  <c r="Q21" i="2"/>
  <c r="Q17" i="2"/>
  <c r="Q26" i="2"/>
  <c r="Q20" i="2"/>
  <c r="Q22" i="2"/>
  <c r="Q25" i="2"/>
  <c r="Q24" i="2"/>
  <c r="Q23" i="2"/>
  <c r="G17" i="2"/>
  <c r="G26" i="2"/>
  <c r="G20" i="2"/>
  <c r="G22" i="2"/>
  <c r="G25" i="2"/>
  <c r="G21" i="2"/>
  <c r="G24" i="2"/>
  <c r="G23" i="2"/>
  <c r="M17" i="2"/>
  <c r="M26" i="2"/>
  <c r="M20" i="2"/>
  <c r="M25" i="2"/>
  <c r="M22" i="2"/>
  <c r="M21" i="2"/>
  <c r="M24" i="2"/>
  <c r="M23" i="2"/>
  <c r="R21" i="2"/>
  <c r="R17" i="2"/>
  <c r="R26" i="2"/>
  <c r="R20" i="2"/>
  <c r="R25" i="2"/>
  <c r="R22" i="2"/>
  <c r="R24" i="2"/>
  <c r="R23" i="2"/>
  <c r="AG9" i="6" l="1"/>
  <c r="AG11" i="6" s="1"/>
  <c r="AG10" i="6" s="1"/>
  <c r="AG14" i="6" s="1"/>
  <c r="AH50" i="6"/>
  <c r="AF11" i="6"/>
  <c r="AF10" i="6" s="1"/>
  <c r="AF14" i="6" s="1"/>
  <c r="AF15" i="6" s="1"/>
  <c r="AH9" i="6"/>
  <c r="R43" i="2"/>
  <c r="S36" i="2"/>
  <c r="G43" i="2"/>
  <c r="J43" i="2"/>
  <c r="N43" i="2"/>
  <c r="S39" i="2"/>
  <c r="O43" i="2"/>
  <c r="K43" i="2"/>
  <c r="Q43" i="2"/>
  <c r="M43" i="2"/>
  <c r="S41" i="2"/>
  <c r="S42" i="2"/>
  <c r="I43" i="2"/>
  <c r="S38" i="2"/>
  <c r="H43" i="2"/>
  <c r="S37" i="2"/>
  <c r="S40" i="2"/>
  <c r="L43" i="2"/>
  <c r="P43" i="2"/>
  <c r="AH11" i="6" l="1"/>
  <c r="AH10" i="6" s="1"/>
  <c r="AG15" i="6"/>
  <c r="S43" i="2"/>
  <c r="F9" i="2"/>
  <c r="F3" i="2" l="1"/>
  <c r="AH14" i="6" l="1"/>
  <c r="AH15" i="6" s="1"/>
  <c r="B15" i="2" l="1"/>
  <c r="C8" i="2" s="1"/>
  <c r="L2" i="2" s="1"/>
  <c r="C5" i="2" l="1"/>
  <c r="I2" i="2" s="1"/>
  <c r="I9" i="2" s="1"/>
  <c r="C4" i="2"/>
  <c r="H2" i="2" s="1"/>
  <c r="H9" i="2" s="1"/>
  <c r="C12" i="2"/>
  <c r="P2" i="2" s="1"/>
  <c r="P9" i="2" s="1"/>
  <c r="C11" i="2"/>
  <c r="O2" i="2" s="1"/>
  <c r="C3" i="2"/>
  <c r="G2" i="2" s="1"/>
  <c r="G9" i="2" s="1"/>
  <c r="C9" i="2"/>
  <c r="M2" i="2" s="1"/>
  <c r="M3" i="2" s="1"/>
  <c r="C14" i="2"/>
  <c r="R2" i="2" s="1"/>
  <c r="R9" i="2" s="1"/>
  <c r="C13" i="2"/>
  <c r="Q2" i="2" s="1"/>
  <c r="Q9" i="2" s="1"/>
  <c r="C7" i="2"/>
  <c r="K2" i="2" s="1"/>
  <c r="K9" i="2" s="1"/>
  <c r="C6" i="2"/>
  <c r="J2" i="2" s="1"/>
  <c r="J3" i="2" s="1"/>
  <c r="O9" i="2"/>
  <c r="O3" i="2"/>
  <c r="P3" i="2"/>
  <c r="K3" i="2"/>
  <c r="L9" i="2"/>
  <c r="L3" i="2"/>
  <c r="C10" i="2"/>
  <c r="N2" i="2" s="1"/>
  <c r="J9" i="2"/>
  <c r="I3" i="2" l="1"/>
  <c r="M9" i="2"/>
  <c r="H3" i="2"/>
  <c r="R3" i="2"/>
  <c r="Q3" i="2"/>
  <c r="N9" i="2"/>
  <c r="S9" i="2" s="1"/>
  <c r="S26" i="2"/>
  <c r="N3" i="2"/>
  <c r="S20" i="2"/>
  <c r="C15" i="2"/>
  <c r="G3" i="2" l="1"/>
  <c r="F8" i="2" l="1"/>
  <c r="M8" i="2" l="1"/>
  <c r="N8" i="2"/>
  <c r="O8" i="2"/>
  <c r="L8" i="2"/>
  <c r="P8" i="2"/>
  <c r="I8" i="2"/>
  <c r="K8" i="2"/>
  <c r="Q8" i="2"/>
  <c r="R8" i="2"/>
  <c r="G8" i="2"/>
  <c r="J8" i="2"/>
  <c r="H8" i="2"/>
  <c r="F4" i="2"/>
  <c r="I4" i="2" s="1"/>
  <c r="S3" i="2"/>
  <c r="H4" i="2" l="1"/>
  <c r="S8" i="2"/>
  <c r="G4" i="2"/>
  <c r="O4" i="2"/>
  <c r="Q4" i="2"/>
  <c r="K4" i="2"/>
  <c r="N4" i="2"/>
  <c r="M4" i="2"/>
  <c r="P4" i="2"/>
  <c r="R4" i="2"/>
  <c r="L4" i="2"/>
  <c r="J4" i="2"/>
  <c r="F5" i="2"/>
  <c r="S4" i="2" l="1"/>
  <c r="H5" i="2"/>
  <c r="L5" i="2"/>
  <c r="P5" i="2"/>
  <c r="I5" i="2"/>
  <c r="M5" i="2"/>
  <c r="Q5" i="2"/>
  <c r="G5" i="2"/>
  <c r="K5" i="2"/>
  <c r="J5" i="2"/>
  <c r="N5" i="2"/>
  <c r="R5" i="2"/>
  <c r="O5" i="2"/>
  <c r="F7" i="2"/>
  <c r="S25" i="2" l="1"/>
  <c r="S22" i="2"/>
  <c r="S5" i="2"/>
  <c r="G7" i="2"/>
  <c r="O7" i="2"/>
  <c r="K7" i="2"/>
  <c r="P7" i="2"/>
  <c r="R7" i="2"/>
  <c r="H7" i="2"/>
  <c r="I7" i="2"/>
  <c r="J7" i="2"/>
  <c r="L7" i="2"/>
  <c r="M7" i="2"/>
  <c r="N7" i="2"/>
  <c r="Q7" i="2"/>
  <c r="F6" i="2"/>
  <c r="S7" i="2" l="1"/>
  <c r="S21" i="2"/>
  <c r="K6" i="2"/>
  <c r="K10" i="2" s="1"/>
  <c r="O6" i="2"/>
  <c r="O10" i="2" s="1"/>
  <c r="R6" i="2"/>
  <c r="R10" i="2" s="1"/>
  <c r="G6" i="2"/>
  <c r="G10" i="2" s="1"/>
  <c r="H6" i="2"/>
  <c r="H10" i="2" s="1"/>
  <c r="L6" i="2"/>
  <c r="L10" i="2" s="1"/>
  <c r="P6" i="2"/>
  <c r="P10" i="2" s="1"/>
  <c r="J6" i="2"/>
  <c r="J10" i="2" s="1"/>
  <c r="I6" i="2"/>
  <c r="I10" i="2" s="1"/>
  <c r="M6" i="2"/>
  <c r="M10" i="2" s="1"/>
  <c r="Q6" i="2"/>
  <c r="Q10" i="2" s="1"/>
  <c r="N6" i="2"/>
  <c r="N10" i="2" s="1"/>
  <c r="F10" i="2"/>
  <c r="F27" i="2"/>
  <c r="J27" i="2"/>
  <c r="Q27" i="2" l="1"/>
  <c r="O27" i="2"/>
  <c r="H27" i="2"/>
  <c r="R27" i="2"/>
  <c r="G27" i="2"/>
  <c r="K27" i="2"/>
  <c r="N27" i="2"/>
  <c r="S23" i="2"/>
  <c r="L27" i="2"/>
  <c r="I27" i="2"/>
  <c r="S6" i="2"/>
  <c r="S10" i="2"/>
  <c r="P27" i="2"/>
  <c r="S24" i="2"/>
  <c r="M27" i="2"/>
  <c r="S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Kirsten Geri</author>
  </authors>
  <commentList>
    <comment ref="B7" authorId="0" shapeId="0" xr:uid="{1A4A2E1E-1E30-4140-B60A-17DD0184D6DF}">
      <text>
        <r>
          <rPr>
            <b/>
            <sz val="9"/>
            <color indexed="81"/>
            <rFont val="Tahoma"/>
            <family val="2"/>
          </rPr>
          <t>Kirsten Geri:</t>
        </r>
        <r>
          <rPr>
            <sz val="9"/>
            <color indexed="81"/>
            <rFont val="Tahoma"/>
            <family val="2"/>
          </rPr>
          <t xml:space="preserve">
Applicable 2024-25</t>
        </r>
      </text>
    </comment>
  </commentList>
</comments>
</file>

<file path=xl/sharedStrings.xml><?xml version="1.0" encoding="utf-8"?>
<sst xmlns="http://schemas.openxmlformats.org/spreadsheetml/2006/main" count="1213" uniqueCount="897">
  <si>
    <t>Band1A</t>
  </si>
  <si>
    <t>Band1B</t>
  </si>
  <si>
    <t>Band1C</t>
  </si>
  <si>
    <t>Band1D</t>
  </si>
  <si>
    <t>Band2A</t>
  </si>
  <si>
    <t>Band2B</t>
  </si>
  <si>
    <t>Band2C</t>
  </si>
  <si>
    <t>Band3A</t>
  </si>
  <si>
    <t>Band3B</t>
  </si>
  <si>
    <t>Band3C</t>
  </si>
  <si>
    <t>Band3D</t>
  </si>
  <si>
    <t>Band4A</t>
  </si>
  <si>
    <t>Band4B</t>
  </si>
  <si>
    <t>Band4C</t>
  </si>
  <si>
    <t>Band4D</t>
  </si>
  <si>
    <t>Band5A</t>
  </si>
  <si>
    <t>Band5B</t>
  </si>
  <si>
    <t>Band5C</t>
  </si>
  <si>
    <t>Band5D</t>
  </si>
  <si>
    <t>Band6A</t>
  </si>
  <si>
    <t>Band6B</t>
  </si>
  <si>
    <t>Band6C</t>
  </si>
  <si>
    <t>Band7B</t>
  </si>
  <si>
    <t>Band7C</t>
  </si>
  <si>
    <t>Band7D</t>
  </si>
  <si>
    <t>Band8A</t>
  </si>
  <si>
    <t>Band8B</t>
  </si>
  <si>
    <t>Band8C</t>
  </si>
  <si>
    <t>Band8D</t>
  </si>
  <si>
    <t>Annual</t>
  </si>
  <si>
    <t>Banding level</t>
  </si>
  <si>
    <t>1000. Salaries</t>
  </si>
  <si>
    <t>1015. Annual Leave</t>
  </si>
  <si>
    <t>1025. Workcover Premium</t>
  </si>
  <si>
    <t>1030. Employer Super - LASB</t>
  </si>
  <si>
    <t>1040. LSL</t>
  </si>
  <si>
    <t>2018-19</t>
  </si>
  <si>
    <t>1001. Overtime</t>
  </si>
  <si>
    <t>Enter T 1.5</t>
  </si>
  <si>
    <t>Enter T 1</t>
  </si>
  <si>
    <t>Enter T 2.0</t>
  </si>
  <si>
    <t>Enter T 2.5</t>
  </si>
  <si>
    <t>Weekend 50%</t>
  </si>
  <si>
    <t>Weekend 100%</t>
  </si>
  <si>
    <t>Hourly rate</t>
  </si>
  <si>
    <t>Enter hours</t>
  </si>
  <si>
    <t>Overtime calc</t>
  </si>
  <si>
    <t>Band7A</t>
  </si>
  <si>
    <t>Leave loading</t>
  </si>
  <si>
    <t>Weekly salary</t>
  </si>
  <si>
    <t>1015. Annual Leave &amp; loading</t>
  </si>
  <si>
    <t>Weekly</t>
  </si>
  <si>
    <t>2019-20</t>
  </si>
  <si>
    <t>Workcover rate</t>
  </si>
  <si>
    <t>Jnl Month</t>
  </si>
  <si>
    <t>Budget Pay Periods</t>
  </si>
  <si>
    <t>% Allocation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</si>
  <si>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</si>
  <si>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</si>
  <si>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</si>
  <si>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</si>
  <si>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</si>
  <si>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</si>
  <si>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</si>
  <si>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</si>
  <si>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</si>
  <si>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</si>
  <si>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</si>
  <si>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</si>
  <si>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CHECK</t>
  </si>
  <si>
    <t>Hourly</t>
  </si>
  <si>
    <t>ü</t>
  </si>
  <si>
    <t>EFT</t>
  </si>
  <si>
    <t>N/A</t>
  </si>
  <si>
    <t>Parameter</t>
  </si>
  <si>
    <t>On cost notes</t>
  </si>
  <si>
    <t>Workcover is on all salary &amp; on costs</t>
  </si>
  <si>
    <t>1050. Allowances</t>
  </si>
  <si>
    <t>Superannuation rate</t>
  </si>
  <si>
    <t>Manually input allowances (if required)</t>
  </si>
  <si>
    <t>ANNUAL &amp; LEAVE LOADING CALCULATION</t>
  </si>
  <si>
    <t>Calculated rate</t>
  </si>
  <si>
    <t># Superable</t>
  </si>
  <si>
    <t>* Not superable (tax free)</t>
  </si>
  <si>
    <t>Long service leave</t>
  </si>
  <si>
    <t>17.5% on 4 weeks leave</t>
  </si>
  <si>
    <t>=(13 weeks every 10 years)/52 weeks</t>
  </si>
  <si>
    <t>Meal allowance *</t>
  </si>
  <si>
    <t>Travel allowance *</t>
  </si>
  <si>
    <t>Motor vehicle allowance (Managers/EMT) #</t>
  </si>
  <si>
    <t>Other allowances #</t>
  </si>
  <si>
    <t>OVERTIME CALCULATION</t>
  </si>
  <si>
    <t>1015. Annual Leave &amp; Loading</t>
  </si>
  <si>
    <t>2020-21</t>
  </si>
  <si>
    <t>2021-22</t>
  </si>
  <si>
    <t>2022-23</t>
  </si>
  <si>
    <t>2023-24</t>
  </si>
  <si>
    <t>2024-25</t>
  </si>
  <si>
    <t>Comments</t>
  </si>
  <si>
    <t>2025-26</t>
  </si>
  <si>
    <t>Rate cap</t>
  </si>
  <si>
    <t>Enterprise Agreement increase</t>
  </si>
  <si>
    <t>Assumed/Forecast</t>
  </si>
  <si>
    <t>PRO-RATA CALCULATIONS:</t>
  </si>
  <si>
    <t>No. days in year</t>
  </si>
  <si>
    <t>HISTORY</t>
  </si>
  <si>
    <t>2026-27</t>
  </si>
  <si>
    <t>Start date</t>
  </si>
  <si>
    <t>End date</t>
  </si>
  <si>
    <t>FULL YEAR CALCULATIONS:</t>
  </si>
  <si>
    <t>MC16TL</t>
  </si>
  <si>
    <t>MC17TL</t>
  </si>
  <si>
    <t>MC1Q4</t>
  </si>
  <si>
    <t>MC1Q6</t>
  </si>
  <si>
    <t>MC1Q7</t>
  </si>
  <si>
    <t>MC26TL</t>
  </si>
  <si>
    <t>MC27TL</t>
  </si>
  <si>
    <t>MC2Q4</t>
  </si>
  <si>
    <t>MC2Q6</t>
  </si>
  <si>
    <t>MC2Q7</t>
  </si>
  <si>
    <t>Total Perm Base Salary 1000 (excl leave)</t>
  </si>
  <si>
    <t>Total
Casual
Salary
(excl
allowances)</t>
  </si>
  <si>
    <t>Total
Overtime
1001</t>
  </si>
  <si>
    <t>Total
Annual
Leave
1015</t>
  </si>
  <si>
    <t>Total
Leave
Loading
1015</t>
  </si>
  <si>
    <t>Total
Leave
&amp;
Loading
1015</t>
  </si>
  <si>
    <t>Total
Super
1030</t>
  </si>
  <si>
    <t>Total
LSL
1040</t>
  </si>
  <si>
    <t>***</t>
  </si>
  <si>
    <t>Total
Workcover
1025</t>
  </si>
  <si>
    <t>Total salary &amp; on costs</t>
  </si>
  <si>
    <t>Total salary only</t>
  </si>
  <si>
    <t>Daily rate</t>
  </si>
  <si>
    <t>Hrly rate</t>
  </si>
  <si>
    <t>Required to be budgeted</t>
  </si>
  <si>
    <t>Budget with contract override</t>
  </si>
  <si>
    <t>2218</t>
  </si>
  <si>
    <t>PF</t>
  </si>
  <si>
    <t>PTL</t>
  </si>
  <si>
    <t>4</t>
  </si>
  <si>
    <t/>
  </si>
  <si>
    <t>B5D</t>
  </si>
  <si>
    <t>18/5/2020</t>
  </si>
  <si>
    <t>NO</t>
  </si>
  <si>
    <t>Employee
Number</t>
  </si>
  <si>
    <t>Sub
Activity</t>
  </si>
  <si>
    <t>Employee
Name</t>
  </si>
  <si>
    <t>Position
Number</t>
  </si>
  <si>
    <t>Position
Title</t>
  </si>
  <si>
    <t>Employee
Hired
Date</t>
  </si>
  <si>
    <t>Position
Start
Date</t>
  </si>
  <si>
    <t>Position
End
Date</t>
  </si>
  <si>
    <t>Days
Worked
In
Year</t>
  </si>
  <si>
    <t>Calc
Start
Date</t>
  </si>
  <si>
    <t>Calc
End
Date</t>
  </si>
  <si>
    <t>Standard
Hrs
Per
Week</t>
  </si>
  <si>
    <t>Actual
Hrs
Per
Week</t>
  </si>
  <si>
    <t>FTE</t>
  </si>
  <si>
    <t>Employment
Status</t>
  </si>
  <si>
    <t>Casual
Loading</t>
  </si>
  <si>
    <t>Leave
Code</t>
  </si>
  <si>
    <t>Leave
Weeks</t>
  </si>
  <si>
    <t>Leave
Applicable</t>
  </si>
  <si>
    <t>Defined
Benefits</t>
  </si>
  <si>
    <t>Super
%</t>
  </si>
  <si>
    <t>Super
Increment</t>
  </si>
  <si>
    <t>Current
Band</t>
  </si>
  <si>
    <t>Next
Band</t>
  </si>
  <si>
    <t>Band
at
1
July</t>
  </si>
  <si>
    <t>Band
Increment
Due</t>
  </si>
  <si>
    <t>Band
Increment
Date
Applicable</t>
  </si>
  <si>
    <t>Increment
Band</t>
  </si>
  <si>
    <t>Days
on
July
1
Band</t>
  </si>
  <si>
    <t>Days
on
Next
Band</t>
  </si>
  <si>
    <t>Contract
Hourly
Rate
Override</t>
  </si>
  <si>
    <t>Current
Hourly
Rate</t>
  </si>
  <si>
    <t>Current
Weekly
Rate</t>
  </si>
  <si>
    <t>Fulltime
Weekly
Rate</t>
  </si>
  <si>
    <t>Band
Weekly
Rate</t>
  </si>
  <si>
    <t>Current
Full
Time
Annual
Salary</t>
  </si>
  <si>
    <t>Employee
Current
Annual
Salary</t>
  </si>
  <si>
    <t>July1
Hourly
Rate</t>
  </si>
  <si>
    <t>July1
Weekly
Rate</t>
  </si>
  <si>
    <t>July1
Fulltime
Annual
Rate</t>
  </si>
  <si>
    <t>Hourly
Rate
at
1
July</t>
  </si>
  <si>
    <t>Weekly
Rate
at
1
July</t>
  </si>
  <si>
    <t>Full
time
Rate
at
1
July</t>
  </si>
  <si>
    <t>Employee
Annual
Salary
at
1
July</t>
  </si>
  <si>
    <t>Next
Incr
Hourly
Rate</t>
  </si>
  <si>
    <t>Next
Incr
Weekly
Rate</t>
  </si>
  <si>
    <t>Increment
Hourly
Rate
Override</t>
  </si>
  <si>
    <t>Increment
Hourly
Rate</t>
  </si>
  <si>
    <t>Increment
Weekly
Rate</t>
  </si>
  <si>
    <t>Increment
Full
time
Annual
Rate</t>
  </si>
  <si>
    <t>Hours
Overtime
(at
normal
time)</t>
  </si>
  <si>
    <t>Hours
Overtime
(at
1.5
time</t>
  </si>
  <si>
    <t>Hours
Overtime
(at
double
time)</t>
  </si>
  <si>
    <t>Hours
Overtime
(at
2.5
time)</t>
  </si>
  <si>
    <t>Hours
Weekend
at
50%
rate</t>
  </si>
  <si>
    <t>Hours
Weekend
at
100%
rate</t>
  </si>
  <si>
    <t>Hours
Early
Shift</t>
  </si>
  <si>
    <t>Hours
Standby
Shift</t>
  </si>
  <si>
    <t>Availalbility
Allowance
(units
as
weeks)</t>
  </si>
  <si>
    <t>Mobile
HACC
Allowance
(units
as
fortnights)</t>
  </si>
  <si>
    <t>Mobile
Library
Allowance
(units
as
days)</t>
  </si>
  <si>
    <t>Oncall
Allowance
(units
as
weeks)</t>
  </si>
  <si>
    <t>Plant
Allowance
(units
as
days)</t>
  </si>
  <si>
    <t>Uniform
Allowance
(units
as
days)</t>
  </si>
  <si>
    <t>Meals
Allowance
(units
as
days)</t>
  </si>
  <si>
    <t>Travel
Allowance
(units
as
kilometers)</t>
  </si>
  <si>
    <t>Service
Recognition
(units
as
dollars)</t>
  </si>
  <si>
    <t>Amount
Overtime
T1</t>
  </si>
  <si>
    <t>Amount
Overtime
T15</t>
  </si>
  <si>
    <t>Amount
Overtime
T2</t>
  </si>
  <si>
    <t>Amount
Overtime
T25</t>
  </si>
  <si>
    <t>Amount
Weekend
50
Pct</t>
  </si>
  <si>
    <t>Amount
Weekend
100
Pct</t>
  </si>
  <si>
    <t>Amount
Shift
Early</t>
  </si>
  <si>
    <t>Amount
Shift
Standby</t>
  </si>
  <si>
    <t>Amount
Availability</t>
  </si>
  <si>
    <t>Amount
Mobile
Hacc</t>
  </si>
  <si>
    <t>Amount
Mobile
Library</t>
  </si>
  <si>
    <t>Amount
Oncall</t>
  </si>
  <si>
    <t>Amount
Plant</t>
  </si>
  <si>
    <t>Amount
Uniform</t>
  </si>
  <si>
    <t>Amount
Meal</t>
  </si>
  <si>
    <t>Amount
Travel</t>
  </si>
  <si>
    <t>Salary
from
1
July
(Pre-increment)</t>
  </si>
  <si>
    <t>Salary
Post-Increment</t>
  </si>
  <si>
    <t>Average
Annual
Salary
Rate</t>
  </si>
  <si>
    <t>Total
Salary</t>
  </si>
  <si>
    <t>Total
Allowances</t>
  </si>
  <si>
    <t>Total
Allowances
For
Super</t>
  </si>
  <si>
    <t>Total
Salary
And
Allowances
For
Super</t>
  </si>
  <si>
    <t>Total
Salary
And
Allowances</t>
  </si>
  <si>
    <t>Total
Perm
Base
Salary
1000
(excl
leave)</t>
  </si>
  <si>
    <t>Workcover
Percentage</t>
  </si>
  <si>
    <t>Postingstring</t>
  </si>
  <si>
    <t>Budgetname</t>
  </si>
  <si>
    <t>Yearid</t>
  </si>
  <si>
    <t>Std
Start
Date</t>
  </si>
  <si>
    <t>Std
End
Date</t>
  </si>
  <si>
    <t>Leave
Loading
Percentage</t>
  </si>
  <si>
    <t>Lsl
Percentage</t>
  </si>
  <si>
    <t>Lab
Upload
Date</t>
  </si>
  <si>
    <t>Std
Days
Worked
In
Year</t>
  </si>
  <si>
    <t>Eb
Incr
Cutoff
Limit</t>
  </si>
  <si>
    <t>Eb
Incr
Dollar</t>
  </si>
  <si>
    <t>Eb
Incr
Percentage</t>
  </si>
  <si>
    <t>Eb
Incr
Date</t>
  </si>
  <si>
    <t>Anniversary
Date</t>
  </si>
  <si>
    <t>Log
Curr
Manager</t>
  </si>
  <si>
    <t>Log
July1
Manager</t>
  </si>
  <si>
    <t>Log
Incr
Manager</t>
  </si>
  <si>
    <t>Super
Loaded</t>
  </si>
  <si>
    <t>Sel
Curr
Hourly
Rate</t>
  </si>
  <si>
    <t>Sel
July1
Hourly
Rate</t>
  </si>
  <si>
    <t>Sel
Incr
Hourly
Rate</t>
  </si>
  <si>
    <t>Rate
Availability</t>
  </si>
  <si>
    <t>Rate
Mobile
Hacc</t>
  </si>
  <si>
    <t>Rate
Mobile
Library</t>
  </si>
  <si>
    <t>Rate
Oncall</t>
  </si>
  <si>
    <t>Rate
Plant</t>
  </si>
  <si>
    <t>Rate
Uniform</t>
  </si>
  <si>
    <t>Rate
Meal</t>
  </si>
  <si>
    <t>Rate
Travel</t>
  </si>
  <si>
    <t>Normal annual salary</t>
  </si>
  <si>
    <t>Start</t>
  </si>
  <si>
    <t>End</t>
  </si>
  <si>
    <t>Paid parental leave</t>
  </si>
  <si>
    <t>Half pay</t>
  </si>
  <si>
    <t>3511</t>
  </si>
  <si>
    <t>FTM</t>
  </si>
  <si>
    <t>B5A</t>
  </si>
  <si>
    <t>B5B</t>
  </si>
  <si>
    <t>NEXT YEAR BUDGET 2021</t>
  </si>
  <si>
    <t>2021</t>
  </si>
  <si>
    <t>01/07/2020</t>
  </si>
  <si>
    <t>30/06/2021</t>
  </si>
  <si>
    <t>30/06/2020</t>
  </si>
  <si>
    <t>2/4/2021</t>
  </si>
  <si>
    <t>parental leave half pay</t>
  </si>
  <si>
    <t>Cost of parental leave payments</t>
  </si>
  <si>
    <t>EFT (change if part EFT)</t>
  </si>
  <si>
    <t>Checked to</t>
  </si>
  <si>
    <t>Payroll</t>
  </si>
  <si>
    <t>Bandings</t>
  </si>
  <si>
    <t>Band 1-8</t>
  </si>
  <si>
    <t>KG</t>
  </si>
  <si>
    <t>2027-28</t>
  </si>
  <si>
    <t>Max leave loading amt (where weekly salary is above cutoff)*</t>
  </si>
  <si>
    <t>* from Payroll</t>
  </si>
  <si>
    <t>Weekly cap for leave loading</t>
  </si>
  <si>
    <t>Formula - don't overwrite</t>
  </si>
  <si>
    <t>Per SGC worksheet</t>
  </si>
  <si>
    <t>UPDATED 9-9-2020 KG</t>
  </si>
  <si>
    <t>Increase higher than EA increase due to super increase (refer SGC)</t>
  </si>
  <si>
    <t>Banding increment</t>
  </si>
  <si>
    <t>Estimated increment</t>
  </si>
  <si>
    <t xml:space="preserve">
2026-27
(Next EA)</t>
  </si>
  <si>
    <t xml:space="preserve">
2027-28
(Next EA)</t>
  </si>
  <si>
    <t xml:space="preserve">
2028-29
(Next EA)</t>
  </si>
  <si>
    <t xml:space="preserve">
2029-30
(Next EA)</t>
  </si>
  <si>
    <t xml:space="preserve">
2030-31
(Next EA)</t>
  </si>
  <si>
    <t>2028-29</t>
  </si>
  <si>
    <t>2029-30</t>
  </si>
  <si>
    <t>2030-31</t>
  </si>
  <si>
    <t xml:space="preserve">
2031-32
(Next EA)</t>
  </si>
  <si>
    <t>2031-32</t>
  </si>
  <si>
    <r>
      <t xml:space="preserve">Assumed increase </t>
    </r>
    <r>
      <rPr>
        <b/>
        <i/>
        <sz val="10"/>
        <color rgb="FF0070C0"/>
        <rFont val="Arial"/>
        <family val="2"/>
      </rPr>
      <t>(NB - future years include band increments)</t>
    </r>
  </si>
  <si>
    <t xml:space="preserve">
2032-33
(Next EA)</t>
  </si>
  <si>
    <t>2032-33</t>
  </si>
  <si>
    <t>EA 2022</t>
  </si>
  <si>
    <t>M&amp;CH Nurse Yr 1</t>
  </si>
  <si>
    <t>M&amp;CH Nurse Yr 2</t>
  </si>
  <si>
    <t>M&amp;CH Nurse Yr 3</t>
  </si>
  <si>
    <t>M&amp;CH Nurse Yr 4</t>
  </si>
  <si>
    <t>EA increase</t>
  </si>
  <si>
    <t>The Source</t>
  </si>
  <si>
    <t>Refer to</t>
  </si>
  <si>
    <t>A9721985</t>
  </si>
  <si>
    <t>IMM3 6.5</t>
  </si>
  <si>
    <t>IMM1 4</t>
  </si>
  <si>
    <t>IMM1 6.5</t>
  </si>
  <si>
    <t>IMM1 7.5</t>
  </si>
  <si>
    <t>IMM2 4</t>
  </si>
  <si>
    <t>IMM2 6.5</t>
  </si>
  <si>
    <t>IMM2 7.5</t>
  </si>
  <si>
    <t>IMM3 4</t>
  </si>
  <si>
    <t>IMM3 7.5</t>
  </si>
  <si>
    <t>IMM4 4</t>
  </si>
  <si>
    <t>IMM4 6.5</t>
  </si>
  <si>
    <t>IMM4 7.5</t>
  </si>
  <si>
    <t>Key</t>
  </si>
  <si>
    <t>highlighted colours = hard coded figures</t>
  </si>
  <si>
    <t xml:space="preserve">no colour = formula entered </t>
  </si>
  <si>
    <t>include allowances (filed in Objective A9737049)</t>
  </si>
  <si>
    <t>27/4/2023 Figures for Immunisation (IMM) and MCH provided by Payroll</t>
  </si>
  <si>
    <t>IMMTL</t>
  </si>
  <si>
    <t>IMMCO</t>
  </si>
  <si>
    <t>MC1</t>
  </si>
  <si>
    <t>MC2</t>
  </si>
  <si>
    <t>MC36TL</t>
  </si>
  <si>
    <t>MC37TL</t>
  </si>
  <si>
    <t>MC3Q4</t>
  </si>
  <si>
    <t>MC3Q6</t>
  </si>
  <si>
    <t>MC3Q7</t>
  </si>
  <si>
    <t>B8DCA</t>
  </si>
  <si>
    <t xml:space="preserve">
2033-34
(Next EA)</t>
  </si>
  <si>
    <t>NOT APPLICABLE THIS EA</t>
  </si>
  <si>
    <t>Year 1</t>
  </si>
  <si>
    <t>Year 2</t>
  </si>
  <si>
    <t>Year 3</t>
  </si>
  <si>
    <t>ATM1 - App Turf Wicket 1Yr 45% (B3A)</t>
  </si>
  <si>
    <t>ATM2 - App Turf Mgt 2nd Yr 60% (B3A)</t>
  </si>
  <si>
    <t>ATM3 - App Turf Mgt 3rd Yr 75% (B3A)</t>
  </si>
  <si>
    <t>ATM4 - App Turf Mgt 4th Yr 90% 3A</t>
  </si>
  <si>
    <t>B1A - Band 1 Level A</t>
  </si>
  <si>
    <t>B1B - Band 1 Level B</t>
  </si>
  <si>
    <t>B1C - band 1 Level C</t>
  </si>
  <si>
    <t>B1D - Band 1 D</t>
  </si>
  <si>
    <t>B2A - Band 2 Level A</t>
  </si>
  <si>
    <t>B2B - Band 2 Level B</t>
  </si>
  <si>
    <t>B2C - Band 2 Level C</t>
  </si>
  <si>
    <t>B3A - Band 3 Level A</t>
  </si>
  <si>
    <t>B3AJ17 - B3A Junior Rate 17yo - 65%</t>
  </si>
  <si>
    <t>B3AJ18 - B3A Junior Rate 18yo - 75%</t>
  </si>
  <si>
    <t>B3AJ19 - B3A Junior 19yo - 85%</t>
  </si>
  <si>
    <t>B3AJ20 - B3A JUNIOR 20 YEARS 95%</t>
  </si>
  <si>
    <t>B3B - Band 3 Level B</t>
  </si>
  <si>
    <t>B3BJ18 - B3B 18 yo @ 75%</t>
  </si>
  <si>
    <t>B3BJ19 - B3B 19 yo @ 85%</t>
  </si>
  <si>
    <t>B3BJ20 - B3B 20 yo @ 95%</t>
  </si>
  <si>
    <t>B3C - Band 3 Level C</t>
  </si>
  <si>
    <t>B3CJ18 - B3C 18 yo @ 75%</t>
  </si>
  <si>
    <t>B3CJ19 - B3C 19 yo @ 85%</t>
  </si>
  <si>
    <t>B3CJ20 - B3C 20 yo @ 95%</t>
  </si>
  <si>
    <t>B3D - Band 3 Level D</t>
  </si>
  <si>
    <t>B3DJ18 - B3D 18 yo @ 75%</t>
  </si>
  <si>
    <t>B3DJ19 - B3D 19 yo @ 85%</t>
  </si>
  <si>
    <t>B3DJ20 - B3D 20 yo @ 95%</t>
  </si>
  <si>
    <t>B4A - Band 4 Level A</t>
  </si>
  <si>
    <t>B4B - Band 4 Level B</t>
  </si>
  <si>
    <t>B4C - Band 4 Level C</t>
  </si>
  <si>
    <t>B4D - Band 4 Level D</t>
  </si>
  <si>
    <t>B5A - Band 5 Level A</t>
  </si>
  <si>
    <t>B5B - Band 5 Level B</t>
  </si>
  <si>
    <t>B5C - Band 5 Level C</t>
  </si>
  <si>
    <t>B5D - Band 5 Level D</t>
  </si>
  <si>
    <t>B6A - Band 6 Level A</t>
  </si>
  <si>
    <t>B6B - BAND 6 LEVEL B</t>
  </si>
  <si>
    <t>B6C - BAND 6 LEVEL C</t>
  </si>
  <si>
    <t>B7A - BAND 7 LEVEL A</t>
  </si>
  <si>
    <t>B7B - BAND 7 LEVEL B</t>
  </si>
  <si>
    <t>B7C - BAND 7 LEVEL C</t>
  </si>
  <si>
    <t>B7D - BAND 7 LEVEL D</t>
  </si>
  <si>
    <t>B8A - BAND 8 LEVEL A</t>
  </si>
  <si>
    <t>B8B - BAND 8 LEVEL B</t>
  </si>
  <si>
    <t>B8C - Band 8 Level C</t>
  </si>
  <si>
    <t>B8D - BAND 8 LEVEL D</t>
  </si>
  <si>
    <t>IMC2 - Immunisation Coordinator - Yr 2</t>
  </si>
  <si>
    <t>IMC3 - Immunisation Coordinator - Yr 3</t>
  </si>
  <si>
    <t>IMC4 - Immunisation Coordinator - Yr 4</t>
  </si>
  <si>
    <t>IMM1 - Immunisation Nurse - Yr 1</t>
  </si>
  <si>
    <t>IMM2 - Immunisation Nurse - Yr 2</t>
  </si>
  <si>
    <t>IMM3 - Immunisation Nurse - Yr 3</t>
  </si>
  <si>
    <t>IMM4 - Immunisation Nurse - Yr 4</t>
  </si>
  <si>
    <t>IMP2 - Immunisation Prime TL Yr 2</t>
  </si>
  <si>
    <t>IMP3 - Immunisation Prime TL Yr 3</t>
  </si>
  <si>
    <t>IMP4 - Immunisation Prime TL Yr 4</t>
  </si>
  <si>
    <t>MC1 - M&amp;CH Nurse Gr 4B - Yr 1</t>
  </si>
  <si>
    <t>MC2 - M&amp;CH Nurse - Yr 2</t>
  </si>
  <si>
    <t>MC3 - M&amp;CH Nurse - Yr 3</t>
  </si>
  <si>
    <t>MC4 - M&amp;CH Nurse - Yr 4</t>
  </si>
  <si>
    <t>MC1TL - M&amp;CH Nurse Gr 4B - Yr 1 - TL</t>
  </si>
  <si>
    <t>MC2TL - M&amp;CH Nurse Gr 4B - Yr 2 - TL</t>
  </si>
  <si>
    <t>MC3TL - M&amp;CH Nurse Gr 4B - Yr 3 - TL</t>
  </si>
  <si>
    <t>MC4TL - M&amp;CH Nurse Gr 4B - Yr 4 - TL</t>
  </si>
  <si>
    <t>MGR - Manager's Contract</t>
  </si>
  <si>
    <t>PSFO - Pre School Field Oficer Yr 1</t>
  </si>
  <si>
    <t>PSFO2 - Pre School Field Officer Yr 2</t>
  </si>
  <si>
    <t>STUDN2 - Tertiary Student Rate 70% B5A</t>
  </si>
  <si>
    <t>STUDNT - Work Place Student 80%B5A</t>
  </si>
  <si>
    <t>3A3516 - Junior Library - Band 3 Level A - 16 Yrs (55%)</t>
  </si>
  <si>
    <t>3A3517 - Junior Library - Band 3 Level A - 17 Yrs (65%)</t>
  </si>
  <si>
    <t>3A3518 - Junior Library - Band 3 Level A - 18 Yrs (75%)</t>
  </si>
  <si>
    <t>3A3519 - Junior Library - Band 3 Level A - 19 Yrs (85%)</t>
  </si>
  <si>
    <t>3A3520 - Junior Library - Band 3 Level A - 20 Yrs (95%)</t>
  </si>
  <si>
    <t>3B3516 - Junior Library - Band 3 Level B - 16 Yrs (55%)</t>
  </si>
  <si>
    <t>3B3517 - Junior Library - Band 3 Level B - 17 Yrs (65%)</t>
  </si>
  <si>
    <t>3B3518 - Junior Library - Band 3 Level B - 18 Yrs (75%)</t>
  </si>
  <si>
    <t>3B3519 - Junior Library - Band 3 Level B - 19 Yrs (85%)</t>
  </si>
  <si>
    <t>3B3520 - Junior Library - Band 3 Level B - 20 Yrs (95%)</t>
  </si>
  <si>
    <t>3C3516 - Junior Library - Band 3 Level C - 16 Yrs (55%)</t>
  </si>
  <si>
    <t>3C3517 - Junior Library - Band 3 Level C - 17 Yrs (65%)</t>
  </si>
  <si>
    <t>3C3518 - Junior Library - Band 3 Level C - 18 Yrs (75%)</t>
  </si>
  <si>
    <t>3C3519 - Junior Library - Band 3 Level C - 19 Yrs (85%)</t>
  </si>
  <si>
    <t>3C3520 - Junior Library - Band 3 Level C - 20 Yrs (95%)</t>
  </si>
  <si>
    <t>3D3516 - Junior Library - Band 3 Level D - 16 Yrs (55%)</t>
  </si>
  <si>
    <t>3D3517 - Junior Library - Band 3 Level D - 17 Yrs (65%)</t>
  </si>
  <si>
    <t>3D3518 - Junior Library - Band 3 Level D - 18 Yrs (75%)</t>
  </si>
  <si>
    <t>3D3519 - Junior Library - Band 3 Level D - 19 Yrs (85%)</t>
  </si>
  <si>
    <t>3D3520 - Junior Library - Band 3 Level D - 20 Yrs (95%)</t>
  </si>
  <si>
    <t>B1A35H - Library - Band 1 Level A</t>
  </si>
  <si>
    <t>B1B35H - Library - Band 1 Level B</t>
  </si>
  <si>
    <t>B1C35H - Library - Band 1 Level C</t>
  </si>
  <si>
    <t>B1D35H - Library - Band 1 Level D</t>
  </si>
  <si>
    <t>B2A35H - Library - Band 2 Level  A</t>
  </si>
  <si>
    <t>B2B35H - Library -Band 2 Level B</t>
  </si>
  <si>
    <t>B2C35H - Library - Band  2 Level C</t>
  </si>
  <si>
    <t>B3A35H - Library - Band 3 Level A</t>
  </si>
  <si>
    <t>B3B35H - Library - Band 3 Level B</t>
  </si>
  <si>
    <t>B3C35H - Library - Band 3 Level C</t>
  </si>
  <si>
    <t>B3D35H - Library - Band 3 Level D</t>
  </si>
  <si>
    <t>B4A35H - Library - Band 4 Level A</t>
  </si>
  <si>
    <t>B4B35H - Library - Band 4 Level B</t>
  </si>
  <si>
    <t>B4C35H - Library - Band 4 Level C</t>
  </si>
  <si>
    <t>B4D35H - Library - Band 4 Level D</t>
  </si>
  <si>
    <t>B5A35H - Library - Band 5 Level A</t>
  </si>
  <si>
    <t>B5B35H - Library - Band 5 Level B</t>
  </si>
  <si>
    <t>B5C35H - Library - Band 5 Level C</t>
  </si>
  <si>
    <t>B5D35H - Library - Band 5 Level D</t>
  </si>
  <si>
    <t>B6A35H - Library - Band 6 Level A</t>
  </si>
  <si>
    <t>B6B35H - Library - Band 6 Level B</t>
  </si>
  <si>
    <t>B6C35H - Library - Band 6 Level C</t>
  </si>
  <si>
    <t>B7A35H - LIBRARY BAND 7 LEVEL A</t>
  </si>
  <si>
    <t>B7B35H - LIBRARY BAND 7 LEVEL B</t>
  </si>
  <si>
    <t>B7C35H - LIBRARY BAND 7 LEVEL C</t>
  </si>
  <si>
    <t>B7D35H - LIBRARY BAND 7 LEVEL D</t>
  </si>
  <si>
    <t>B8A35H - LIBRARY BAND 8 LEVEL A</t>
  </si>
  <si>
    <t>B8B35H - LIBRARY BAND 8 LEVEL B</t>
  </si>
  <si>
    <t>B8C35H - LIBRARY BAND 8 LEVEL C</t>
  </si>
  <si>
    <t>B8D35H - LIBRARY BAND 8 LEVEL D</t>
  </si>
  <si>
    <t>Next EA.  Forecast only - do not represent EA outcomes</t>
  </si>
  <si>
    <t>2033-34</t>
  </si>
  <si>
    <t>2034-35</t>
  </si>
  <si>
    <t xml:space="preserve">
2034-35
(Next EA)</t>
  </si>
  <si>
    <t>Updated KG</t>
  </si>
  <si>
    <t>Leave Group</t>
  </si>
  <si>
    <t>Description</t>
  </si>
  <si>
    <t>42/52 Mod - FT Swim Pool</t>
  </si>
  <si>
    <t>44/52 Module SCS</t>
  </si>
  <si>
    <t>44R</t>
  </si>
  <si>
    <t>44 / 52 and F/N RDO</t>
  </si>
  <si>
    <t>48/52 Module Full Time</t>
  </si>
  <si>
    <t>48F</t>
  </si>
  <si>
    <t>48/52 MAT NURSE RDO FT</t>
  </si>
  <si>
    <t>48M</t>
  </si>
  <si>
    <t>48 / 52 Wk - 4 Wk RDO</t>
  </si>
  <si>
    <t>48P</t>
  </si>
  <si>
    <t>48/52 Module Part Time</t>
  </si>
  <si>
    <t>48R</t>
  </si>
  <si>
    <t>48/52 Module F/Night RDO</t>
  </si>
  <si>
    <t>48S</t>
  </si>
  <si>
    <t>48/52 RDO FTF MACNEE</t>
  </si>
  <si>
    <t>50F</t>
  </si>
  <si>
    <t>50/52 F/N RDO</t>
  </si>
  <si>
    <t>50M</t>
  </si>
  <si>
    <t>50/52 Mod - FT 4 Wk RDO</t>
  </si>
  <si>
    <t>50N</t>
  </si>
  <si>
    <t>50/52 FT No Rdo</t>
  </si>
  <si>
    <t>50P</t>
  </si>
  <si>
    <t>50/52 Part Time</t>
  </si>
  <si>
    <t>CAS</t>
  </si>
  <si>
    <t>Casual Staff</t>
  </si>
  <si>
    <t>ETC</t>
  </si>
  <si>
    <t>EC Teachers FT Fn RDO</t>
  </si>
  <si>
    <t>ETP</t>
  </si>
  <si>
    <t>EC Teachers Part Time</t>
  </si>
  <si>
    <t>FFN</t>
  </si>
  <si>
    <t>Full Time FN RDO No Lvld</t>
  </si>
  <si>
    <t>FLB</t>
  </si>
  <si>
    <t>Full Time Library No Rdo</t>
  </si>
  <si>
    <t>FTF</t>
  </si>
  <si>
    <t>Full Time Fortnighly RDO</t>
  </si>
  <si>
    <t>FTL</t>
  </si>
  <si>
    <t>Full Time Loading No RDO</t>
  </si>
  <si>
    <t>Full Time 4 Weekly RDO</t>
  </si>
  <si>
    <t>FTO</t>
  </si>
  <si>
    <t>FT Outdoor Fortnight RDO</t>
  </si>
  <si>
    <t>MC5</t>
  </si>
  <si>
    <t>MCH PT 50/52</t>
  </si>
  <si>
    <t>MCF</t>
  </si>
  <si>
    <t>M&amp;CH Full Time Fn RDO</t>
  </si>
  <si>
    <t>MCL</t>
  </si>
  <si>
    <t>M&amp;CH F/T No RDO</t>
  </si>
  <si>
    <t>MCM</t>
  </si>
  <si>
    <t>M&amp;CH 4 Weekly RDO</t>
  </si>
  <si>
    <t>MCP</t>
  </si>
  <si>
    <t>M&amp;CH Part Time</t>
  </si>
  <si>
    <t>PT2</t>
  </si>
  <si>
    <t>Part Time Indoor - Lvld</t>
  </si>
  <si>
    <t>PT4</t>
  </si>
  <si>
    <t>Part Time 4 Wk RDO</t>
  </si>
  <si>
    <t>PTF</t>
  </si>
  <si>
    <t>Part-time Fortnighly RDO</t>
  </si>
  <si>
    <t>PTO</t>
  </si>
  <si>
    <t>Part Time Outdoor - Lvld</t>
  </si>
  <si>
    <t>ZNO</t>
  </si>
  <si>
    <t>No Leave Applicable</t>
  </si>
  <si>
    <t>Allowance Code</t>
  </si>
  <si>
    <t>N/A Ordinary Time</t>
  </si>
  <si>
    <t>Extra Hrs - Parttm Auto</t>
  </si>
  <si>
    <t>N/A Early Start Penalty</t>
  </si>
  <si>
    <t>Casual Time 1.20</t>
  </si>
  <si>
    <t>N/A Casual Time 1.25</t>
  </si>
  <si>
    <t>N/A P/T Extra</t>
  </si>
  <si>
    <t>N/A Time &amp; One Half</t>
  </si>
  <si>
    <t>N/A Casual Time 1.50</t>
  </si>
  <si>
    <t>N/A Double Time</t>
  </si>
  <si>
    <t>N/A Double &amp; a Half</t>
  </si>
  <si>
    <t>ABC</t>
  </si>
  <si>
    <t>N/A A B C Packaged</t>
  </si>
  <si>
    <t>ANLO</t>
  </si>
  <si>
    <t>Annual Leave Lgd Oncost</t>
  </si>
  <si>
    <t>ANN</t>
  </si>
  <si>
    <t>Annual Leave Taken</t>
  </si>
  <si>
    <t>ANNO</t>
  </si>
  <si>
    <t>Annual Leave Oncost</t>
  </si>
  <si>
    <t>ANNR</t>
  </si>
  <si>
    <t>Annual Leave Reversal</t>
  </si>
  <si>
    <t>APAR</t>
  </si>
  <si>
    <t>Parking Allowance</t>
  </si>
  <si>
    <t>AS</t>
  </si>
  <si>
    <t>Afternoon Shift 2.5%</t>
  </si>
  <si>
    <t>AV</t>
  </si>
  <si>
    <t>Availability Allowance</t>
  </si>
  <si>
    <t>AVEH</t>
  </si>
  <si>
    <t>Motor Vehicle Allowance</t>
  </si>
  <si>
    <t>AVP</t>
  </si>
  <si>
    <t>Availability Allow Perm</t>
  </si>
  <si>
    <t>AVSO</t>
  </si>
  <si>
    <t>Availability Sleep-Over</t>
  </si>
  <si>
    <t>BASE</t>
  </si>
  <si>
    <t>Base Rate Of Pay</t>
  </si>
  <si>
    <t>BCAS</t>
  </si>
  <si>
    <t>Backpay Casual Rates</t>
  </si>
  <si>
    <t>BFR</t>
  </si>
  <si>
    <t>Bush Fire Relief Ord</t>
  </si>
  <si>
    <t>BFR1</t>
  </si>
  <si>
    <t>Bush Fire Relief T 1/2</t>
  </si>
  <si>
    <t>BFR2</t>
  </si>
  <si>
    <t>Bush Fire Relief Double</t>
  </si>
  <si>
    <t>BONU</t>
  </si>
  <si>
    <t>Performance Bonus</t>
  </si>
  <si>
    <t>BPAY</t>
  </si>
  <si>
    <t>Backpay</t>
  </si>
  <si>
    <t>BPO2</t>
  </si>
  <si>
    <t>Backpay O/T 2nd Rate</t>
  </si>
  <si>
    <t>BPOT</t>
  </si>
  <si>
    <t>Backpay Overtime</t>
  </si>
  <si>
    <t>BPPH</t>
  </si>
  <si>
    <t>Backpay Public Holiday</t>
  </si>
  <si>
    <t>BPSE</t>
  </si>
  <si>
    <t>Backpay Lump Sum E</t>
  </si>
  <si>
    <t>BPT</t>
  </si>
  <si>
    <t>Backpay Timesheet</t>
  </si>
  <si>
    <t>BPY2</t>
  </si>
  <si>
    <t>Backpay 2nd Rate</t>
  </si>
  <si>
    <t>BPY3</t>
  </si>
  <si>
    <t>Backpay 3rd Rate</t>
  </si>
  <si>
    <t>BPY4</t>
  </si>
  <si>
    <t>Backpay 4th Rate</t>
  </si>
  <si>
    <t>BRM</t>
  </si>
  <si>
    <t>Broom Allowance - EBA</t>
  </si>
  <si>
    <t>BTF</t>
  </si>
  <si>
    <t>Bank Transaction Fee</t>
  </si>
  <si>
    <t>C125</t>
  </si>
  <si>
    <t>Casual @ 125%</t>
  </si>
  <si>
    <t>C175</t>
  </si>
  <si>
    <t>Casual @ 175%</t>
  </si>
  <si>
    <t>C225</t>
  </si>
  <si>
    <t>Casual @ 225%</t>
  </si>
  <si>
    <t>C275</t>
  </si>
  <si>
    <t>Casual @ 275%</t>
  </si>
  <si>
    <t>CALW</t>
  </si>
  <si>
    <t>Councillors Allowance</t>
  </si>
  <si>
    <t>CAR</t>
  </si>
  <si>
    <t>Car Allowance</t>
  </si>
  <si>
    <t>CENT</t>
  </si>
  <si>
    <t>Centrelink Paid Mat Lve</t>
  </si>
  <si>
    <t>CMP</t>
  </si>
  <si>
    <t>Compassionate Leave</t>
  </si>
  <si>
    <t>DA</t>
  </si>
  <si>
    <t>Dead Animal 23.1.10b</t>
  </si>
  <si>
    <t>DEFN</t>
  </si>
  <si>
    <t>N/A Emp Sup Pk - Non Sup</t>
  </si>
  <si>
    <t>DEFS</t>
  </si>
  <si>
    <t>N/A Emp Sup Pack - Super</t>
  </si>
  <si>
    <t>DRA</t>
  </si>
  <si>
    <t>Drivers Allow 23.1.7 b i</t>
  </si>
  <si>
    <t>EMER</t>
  </si>
  <si>
    <t>Emergency Services Leave</t>
  </si>
  <si>
    <t>EMPA</t>
  </si>
  <si>
    <t>Employee Advance</t>
  </si>
  <si>
    <t>EOBL</t>
  </si>
  <si>
    <t>End of Band Extra Leave</t>
  </si>
  <si>
    <t>EOBP</t>
  </si>
  <si>
    <t>End of Band Payment</t>
  </si>
  <si>
    <t>ES</t>
  </si>
  <si>
    <t>Early Shift 20% Cl 33.14</t>
  </si>
  <si>
    <t>ESAL</t>
  </si>
  <si>
    <t>Salary</t>
  </si>
  <si>
    <t>FAM</t>
  </si>
  <si>
    <t>Family Leave</t>
  </si>
  <si>
    <t>FARE</t>
  </si>
  <si>
    <t>Fares</t>
  </si>
  <si>
    <t>FML</t>
  </si>
  <si>
    <t>Meal Allowance</t>
  </si>
  <si>
    <t>FRA</t>
  </si>
  <si>
    <t>First Aid Allow 23.1.17</t>
  </si>
  <si>
    <t>FSV</t>
  </si>
  <si>
    <t>First Service Visit</t>
  </si>
  <si>
    <t>FT1</t>
  </si>
  <si>
    <t>Travel Allowance 4 Cyl's</t>
  </si>
  <si>
    <t>FT2</t>
  </si>
  <si>
    <t>Travel Allow 6 &amp; 8 Cyl's</t>
  </si>
  <si>
    <t>GTEE</t>
  </si>
  <si>
    <t>Guaranteed Minimum Hours</t>
  </si>
  <si>
    <t>HACJ</t>
  </si>
  <si>
    <t>HACC HUDGEMENT</t>
  </si>
  <si>
    <t>HD</t>
  </si>
  <si>
    <t>Higher Duties Allowance</t>
  </si>
  <si>
    <t>HDH</t>
  </si>
  <si>
    <t>Higher Duties - Hours</t>
  </si>
  <si>
    <t>HMOB</t>
  </si>
  <si>
    <t>HACC MOBILE PHONE ALLOW</t>
  </si>
  <si>
    <t>JUR</t>
  </si>
  <si>
    <t>Jury Service Leave</t>
  </si>
  <si>
    <t>LAHA</t>
  </si>
  <si>
    <t>LIVING AWAY FROM HOME</t>
  </si>
  <si>
    <t>LAUN</t>
  </si>
  <si>
    <t>LAUNDRY</t>
  </si>
  <si>
    <t>LPS</t>
  </si>
  <si>
    <t>LPSN</t>
  </si>
  <si>
    <t>LSL</t>
  </si>
  <si>
    <t>Long Service Leave</t>
  </si>
  <si>
    <t>LSLD</t>
  </si>
  <si>
    <t>Do Not Use LSL Double</t>
  </si>
  <si>
    <t>LSLH</t>
  </si>
  <si>
    <t>LSL Half Pay</t>
  </si>
  <si>
    <t>LSLO</t>
  </si>
  <si>
    <t>L S L Oncost</t>
  </si>
  <si>
    <t>LSLR</t>
  </si>
  <si>
    <t>L S L Reversal</t>
  </si>
  <si>
    <t>LVLD</t>
  </si>
  <si>
    <t>Leave Loading</t>
  </si>
  <si>
    <t>LWP</t>
  </si>
  <si>
    <t>Leave Without Pay.</t>
  </si>
  <si>
    <t>MAT</t>
  </si>
  <si>
    <t>Maternity Leave</t>
  </si>
  <si>
    <t>MATH</t>
  </si>
  <si>
    <t>Maternity DONT USE</t>
  </si>
  <si>
    <t>MATU</t>
  </si>
  <si>
    <t>Maternity Leave Unpaid</t>
  </si>
  <si>
    <t>MEAL</t>
  </si>
  <si>
    <t>MECT</t>
  </si>
  <si>
    <t>Mechanics Tool Allow</t>
  </si>
  <si>
    <t>MENA</t>
  </si>
  <si>
    <t>Mentor A Allowance</t>
  </si>
  <si>
    <t>MENB</t>
  </si>
  <si>
    <t>Mentor B Allowance</t>
  </si>
  <si>
    <t>MENC</t>
  </si>
  <si>
    <t>Mentor C Allowance</t>
  </si>
  <si>
    <t>MEND</t>
  </si>
  <si>
    <t>Mentor D Allowance</t>
  </si>
  <si>
    <t>MIL</t>
  </si>
  <si>
    <t>Military Service Leave</t>
  </si>
  <si>
    <t>MOB</t>
  </si>
  <si>
    <t>Mobile Allowance</t>
  </si>
  <si>
    <t>MUP</t>
  </si>
  <si>
    <t>Make Up Pay</t>
  </si>
  <si>
    <t>MVA</t>
  </si>
  <si>
    <t>Motor Vehicle Allow</t>
  </si>
  <si>
    <t>MVEH</t>
  </si>
  <si>
    <t>Dont Use Motor Veh</t>
  </si>
  <si>
    <t>MVEN</t>
  </si>
  <si>
    <t>N/A Motor Veh -Non Super</t>
  </si>
  <si>
    <t>MVR</t>
  </si>
  <si>
    <t>N/A Motor Vehicle Rebate</t>
  </si>
  <si>
    <t>MVSS</t>
  </si>
  <si>
    <t>N/A Mv Sal Sacrifice</t>
  </si>
  <si>
    <t>NETR</t>
  </si>
  <si>
    <t>Suspense Acct Reversal</t>
  </si>
  <si>
    <t>NP</t>
  </si>
  <si>
    <t>No Payment Made</t>
  </si>
  <si>
    <t>OAW</t>
  </si>
  <si>
    <t>Over Award Allowance</t>
  </si>
  <si>
    <t>ONCL</t>
  </si>
  <si>
    <t>Oncall Allowance</t>
  </si>
  <si>
    <t>ONCP</t>
  </si>
  <si>
    <t>Oncall Permanent</t>
  </si>
  <si>
    <t>OP</t>
  </si>
  <si>
    <t>Repay Gross Overpayment</t>
  </si>
  <si>
    <t>OT15</t>
  </si>
  <si>
    <t>Overtime @ 1.5</t>
  </si>
  <si>
    <t>OT2</t>
  </si>
  <si>
    <t>Overtime @ 2.0</t>
  </si>
  <si>
    <t>OT25</t>
  </si>
  <si>
    <t>Overtime @ 2.5</t>
  </si>
  <si>
    <t>OTH</t>
  </si>
  <si>
    <t>Other Leave</t>
  </si>
  <si>
    <t>P100</t>
  </si>
  <si>
    <t>Penalty Rate @ 100%</t>
  </si>
  <si>
    <t>P150</t>
  </si>
  <si>
    <t>Penalty Rate @ 150%</t>
  </si>
  <si>
    <t>P50</t>
  </si>
  <si>
    <t>Penalty Rate @ 50%</t>
  </si>
  <si>
    <t>PAR</t>
  </si>
  <si>
    <t>Parental Leave</t>
  </si>
  <si>
    <t>PARU</t>
  </si>
  <si>
    <t>Parntal Leave Unpaid</t>
  </si>
  <si>
    <t>PHOL</t>
  </si>
  <si>
    <t>Public Holidays</t>
  </si>
  <si>
    <t>PLT</t>
  </si>
  <si>
    <t>Plant Maint 23.1.7 b iii</t>
  </si>
  <si>
    <t>PLTT</t>
  </si>
  <si>
    <t>PMVE</t>
  </si>
  <si>
    <t>Packaged- Motor Vehicle</t>
  </si>
  <si>
    <t>PPHL</t>
  </si>
  <si>
    <t>Public Holiday</t>
  </si>
  <si>
    <t>PTX3</t>
  </si>
  <si>
    <t>Payroll Tax Victoria</t>
  </si>
  <si>
    <t>PTX9</t>
  </si>
  <si>
    <t>No Payroll Tax</t>
  </si>
  <si>
    <t>RDO</t>
  </si>
  <si>
    <t>Rostered Day Off</t>
  </si>
  <si>
    <t>SAL</t>
  </si>
  <si>
    <t>Salaries</t>
  </si>
  <si>
    <t>SBON</t>
  </si>
  <si>
    <t>Service Recognition Bonu</t>
  </si>
  <si>
    <t>SBY</t>
  </si>
  <si>
    <t>Standby Allowance</t>
  </si>
  <si>
    <t>SES</t>
  </si>
  <si>
    <t>S E S Allowance</t>
  </si>
  <si>
    <t>SIC</t>
  </si>
  <si>
    <t>Sick Leave</t>
  </si>
  <si>
    <t>SICO</t>
  </si>
  <si>
    <t>Sick Leave Oncosts</t>
  </si>
  <si>
    <t>SICR</t>
  </si>
  <si>
    <t>Sick Leave Reversal</t>
  </si>
  <si>
    <t>SICU</t>
  </si>
  <si>
    <t>Sick Leave Unpaid</t>
  </si>
  <si>
    <t>SPL</t>
  </si>
  <si>
    <t>Special Leave</t>
  </si>
  <si>
    <t>SSEC</t>
  </si>
  <si>
    <t>Salary Secondment</t>
  </si>
  <si>
    <t>STDY</t>
  </si>
  <si>
    <t>Study Leave</t>
  </si>
  <si>
    <t>STEX</t>
  </si>
  <si>
    <t>Study Expenses</t>
  </si>
  <si>
    <t>TAC</t>
  </si>
  <si>
    <t>TIL</t>
  </si>
  <si>
    <t>Time in Lieu</t>
  </si>
  <si>
    <t>TILB</t>
  </si>
  <si>
    <t>Time in Lieu Bank</t>
  </si>
  <si>
    <t>TLSA</t>
  </si>
  <si>
    <t>TERMINATION LUMP SUM A.</t>
  </si>
  <si>
    <t>TLSB</t>
  </si>
  <si>
    <t>TERMINATION LUMP SUM B.</t>
  </si>
  <si>
    <t>TLSC</t>
  </si>
  <si>
    <t>TERMINATION LUMP SUM C.</t>
  </si>
  <si>
    <t>TLSD</t>
  </si>
  <si>
    <t>TERMINATION LUMP SUM D</t>
  </si>
  <si>
    <t>TLSE</t>
  </si>
  <si>
    <t>Lump Sum E (BP&gt; 12 Mths)</t>
  </si>
  <si>
    <t>TLSM</t>
  </si>
  <si>
    <t>Termination Lump Sum (m)</t>
  </si>
  <si>
    <t>TLSP</t>
  </si>
  <si>
    <t>TERM SUM A - INC IN PTAX</t>
  </si>
  <si>
    <t>TRAV</t>
  </si>
  <si>
    <t>N/A Travel Allowance</t>
  </si>
  <si>
    <t>TRT1</t>
  </si>
  <si>
    <t>Travel 4 Cycl Taxable</t>
  </si>
  <si>
    <t>TRT2</t>
  </si>
  <si>
    <t>Trav All 6/ 8 Cyl's Tax</t>
  </si>
  <si>
    <t>TRV1</t>
  </si>
  <si>
    <t>TRV2</t>
  </si>
  <si>
    <t>TUT</t>
  </si>
  <si>
    <t>Trade Union Training</t>
  </si>
  <si>
    <t>UNF</t>
  </si>
  <si>
    <t>Uniform MCH</t>
  </si>
  <si>
    <t>UNFC</t>
  </si>
  <si>
    <t>Uniform RN Casual</t>
  </si>
  <si>
    <t>UNFR</t>
  </si>
  <si>
    <t>Uniform - Registered Nse</t>
  </si>
  <si>
    <t>UNFS</t>
  </si>
  <si>
    <t>Uniform - RAS</t>
  </si>
  <si>
    <t>UNHC</t>
  </si>
  <si>
    <t>Uniform H/Care 23.1.15b</t>
  </si>
  <si>
    <t>UNMC</t>
  </si>
  <si>
    <t>Uniform - MCH Casual</t>
  </si>
  <si>
    <t>VICH</t>
  </si>
  <si>
    <t>Vic Health Allowance</t>
  </si>
  <si>
    <t>VOL</t>
  </si>
  <si>
    <t>Volunteers Leave</t>
  </si>
  <si>
    <t>WCM</t>
  </si>
  <si>
    <t>Workcover &gt;53 Weeks</t>
  </si>
  <si>
    <t>WCM1</t>
  </si>
  <si>
    <t>Workcover &lt; 10 Days</t>
  </si>
  <si>
    <t>WCM2</t>
  </si>
  <si>
    <t>Workcover 11 Day - 39 Wk</t>
  </si>
  <si>
    <t>WCM3</t>
  </si>
  <si>
    <t>Workcover &gt; 40 -52 Wks</t>
  </si>
  <si>
    <t>WCMO</t>
  </si>
  <si>
    <t>Work Care Oncost</t>
  </si>
  <si>
    <t>WEED</t>
  </si>
  <si>
    <t>Weed Spraying</t>
  </si>
  <si>
    <t>WOT</t>
  </si>
  <si>
    <t>Workcover OT Component</t>
  </si>
  <si>
    <t>WSA</t>
  </si>
  <si>
    <t>Workcover Shift Allow</t>
  </si>
  <si>
    <t>ZAN</t>
  </si>
  <si>
    <t>AWD - Annualised Allow</t>
  </si>
  <si>
    <t>ZCAS</t>
  </si>
  <si>
    <t>AWD - Casual 25% Loading</t>
  </si>
  <si>
    <t>ZIND</t>
  </si>
  <si>
    <t>AWD - Ind Allow 23.1.7c</t>
  </si>
  <si>
    <t>ZLIC</t>
  </si>
  <si>
    <t>AWD - Licence Allowance</t>
  </si>
  <si>
    <t>ZLLD</t>
  </si>
  <si>
    <t>AWD - Leave Loading</t>
  </si>
  <si>
    <t>ZMC4</t>
  </si>
  <si>
    <t>AWD - MCH Qual Allow 4%</t>
  </si>
  <si>
    <t>ZMC6</t>
  </si>
  <si>
    <t>AWD - MCH Qual Alw 6.5%</t>
  </si>
  <si>
    <t>ZMC7</t>
  </si>
  <si>
    <t>MCH QUAL ALW 7.5%</t>
  </si>
  <si>
    <t>ZMCH</t>
  </si>
  <si>
    <t>AWD - M&amp;CH EBA Allowance</t>
  </si>
  <si>
    <t>ZMG</t>
  </si>
  <si>
    <t>AWD - Marginal - Council</t>
  </si>
  <si>
    <t>ZOA</t>
  </si>
  <si>
    <t>AWD - Over Award</t>
  </si>
  <si>
    <t>ZOAP</t>
  </si>
  <si>
    <t>AWD - Over Awd Personal</t>
  </si>
  <si>
    <t>ZOT</t>
  </si>
  <si>
    <t>AWD - Overtime Component</t>
  </si>
  <si>
    <t>ZPL</t>
  </si>
  <si>
    <t>AWD - Plumbers Allowance</t>
  </si>
  <si>
    <t>ZRD4</t>
  </si>
  <si>
    <t>AWD - Ann'sd No RDO 4Wk</t>
  </si>
  <si>
    <t>ZRDC</t>
  </si>
  <si>
    <t>AWD - Ann'd RDO Fn to 4W</t>
  </si>
  <si>
    <t>ZRDF</t>
  </si>
  <si>
    <t>AWD - Ann'sd No RDO F/n</t>
  </si>
  <si>
    <t>ZRP</t>
  </si>
  <si>
    <t>AWD - Registered Plumber</t>
  </si>
  <si>
    <t>ZSE</t>
  </si>
  <si>
    <t>AWD - Special Engagement</t>
  </si>
  <si>
    <t>ZTL</t>
  </si>
  <si>
    <t>AWD - Tool Allowance</t>
  </si>
  <si>
    <t>2035-36</t>
  </si>
  <si>
    <t>Check with AL or refer labour parameters</t>
  </si>
  <si>
    <t>Estimate based on expected premium in next yr( refer labour parameters)</t>
  </si>
  <si>
    <t xml:space="preserve">
2035-36
(Next EA)</t>
  </si>
  <si>
    <t>Current
2025-26
(Next 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</si>
</sst>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.0_-;\-* #,##0.0_-;_-* &quot;-&quot;??_-;_-@_-"/>
    <numFmt numFmtId="166" formatCode="_-* #,##0.0000_-;\-* #,##0.0000_-;_-* &quot;-&quot;??_-;_-@_-"/>
    <numFmt numFmtId="167" formatCode="0.000000000"/>
    <numFmt numFmtId="168" formatCode="0.00000000"/>
    <numFmt numFmtId="169" formatCode="#,##0;\(#,##0\)"/>
    <numFmt numFmtId="170" formatCode="#,##0.00;\(#,##0.00\)"/>
    <numFmt numFmtId="171" formatCode="##,##0"/>
    <numFmt numFmtId="172" formatCode="##,##0.00"/>
    <numFmt numFmtId="173" formatCode="#0.00\%"/>
    <numFmt numFmtId="174" formatCode="\$##,##0.00"/>
    <numFmt numFmtId="175" formatCode="d"/>
    <numFmt numFmtId="176" formatCode="##,##0.00000"/>
    <numFmt numFmtId="177" formatCode="##,##0.0000"/>
    <numFmt numFmtId="178" formatCode="0.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i/>
      <sz val="10"/>
      <color theme="1"/>
      <name val="Arial"/>
      <family val="2"/>
    </font>
    <font>
      <sz val="10"/>
      <color theme="4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i/>
      <sz val="8"/>
      <color rgb="FF00B050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00B0F0"/>
      <name val="Arial"/>
      <family val="2"/>
    </font>
    <font>
      <sz val="8"/>
      <color rgb="FF00B0F0"/>
      <name val="Arial"/>
      <family val="2"/>
    </font>
    <font>
      <sz val="8"/>
      <color rgb="FF00B0F0"/>
      <name val="Wingdings"/>
      <charset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color rgb="FF00B050"/>
      <name val="Arial"/>
      <family val="2"/>
    </font>
    <font>
      <i/>
      <sz val="8"/>
      <color theme="1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color rgb="FF66CC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name val="Arial"/>
      <family val="2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8.25"/>
      <name val="Microsoft Sans Serif"/>
      <family val="2"/>
    </font>
    <font>
      <sz val="8.25"/>
      <name val="Arial"/>
      <family val="2"/>
    </font>
    <font>
      <sz val="8.25"/>
      <name val="Microsoft Sans Serif"/>
      <family val="2"/>
    </font>
    <font>
      <b/>
      <sz val="10"/>
      <name val="Arial"/>
      <family val="2"/>
    </font>
    <font>
      <sz val="8.25"/>
      <name val="Arial"/>
      <family val="2"/>
    </font>
    <font>
      <b/>
      <sz val="11"/>
      <color rgb="FF0070C0"/>
      <name val="Arial"/>
      <family val="2"/>
    </font>
    <font>
      <i/>
      <sz val="10"/>
      <color rgb="FF00B050"/>
      <name val="Arial"/>
      <family val="2"/>
    </font>
    <font>
      <sz val="10"/>
      <color rgb="FF00B050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0"/>
      <color theme="0"/>
      <name val="Arial"/>
      <family val="2"/>
    </font>
    <font>
      <b/>
      <i/>
      <sz val="10"/>
      <color rgb="FF0070C0"/>
      <name val="Arial"/>
      <family val="2"/>
    </font>
    <font>
      <b/>
      <i/>
      <sz val="10"/>
      <color rgb="FF00B050"/>
      <name val="Arial"/>
      <family val="2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20"/>
      <color theme="0"/>
      <name val="Arial"/>
      <family val="2"/>
    </font>
    <font>
      <sz val="10"/>
      <color theme="1"/>
      <name val="Aptos Narrow"/>
      <family val="2"/>
    </font>
    <font>
      <sz val="10"/>
      <name val="Aptos Narrow"/>
      <family val="2"/>
    </font>
    <font>
      <i/>
      <sz val="8"/>
      <color rgb="FF00B05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FFE6"/>
        <bgColor indexed="64"/>
      </patternFill>
    </fill>
    <fill>
      <patternFill patternType="solid">
        <fgColor rgb="FFBDE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E6FFE6"/>
      </patternFill>
    </fill>
    <fill>
      <patternFill patternType="solid">
        <fgColor rgb="FFFAFEC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8" fillId="0" borderId="0"/>
    <xf numFmtId="0" fontId="40" fillId="0" borderId="0"/>
  </cellStyleXfs>
  <cellXfs count="270">
    <xf numFmtId="0" fontId="0" fillId="0" borderId="0" xfId="0"/>
    <xf numFmtId="164" fontId="2" fillId="3" borderId="0" xfId="1" applyNumberFormat="1" applyFont="1" applyFill="1" applyAlignment="1">
      <alignment horizontal="right"/>
    </xf>
    <xf numFmtId="0" fontId="3" fillId="0" borderId="0" xfId="0" applyFont="1"/>
    <xf numFmtId="164" fontId="3" fillId="0" borderId="0" xfId="1" applyNumberFormat="1" applyFont="1"/>
    <xf numFmtId="14" fontId="2" fillId="3" borderId="0" xfId="0" applyNumberFormat="1" applyFont="1" applyFill="1"/>
    <xf numFmtId="164" fontId="2" fillId="3" borderId="0" xfId="1" applyNumberFormat="1" applyFont="1" applyFill="1" applyAlignment="1">
      <alignment horizontal="right" wrapText="1"/>
    </xf>
    <xf numFmtId="164" fontId="3" fillId="0" borderId="1" xfId="1" applyNumberFormat="1" applyFont="1" applyBorder="1"/>
    <xf numFmtId="0" fontId="3" fillId="0" borderId="2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right"/>
    </xf>
    <xf numFmtId="0" fontId="5" fillId="3" borderId="0" xfId="0" applyFont="1" applyFill="1"/>
    <xf numFmtId="0" fontId="3" fillId="0" borderId="0" xfId="0" quotePrefix="1" applyFont="1" applyAlignment="1">
      <alignment horizontal="left"/>
    </xf>
    <xf numFmtId="44" fontId="3" fillId="0" borderId="0" xfId="0" applyNumberFormat="1" applyFont="1"/>
    <xf numFmtId="0" fontId="7" fillId="0" borderId="0" xfId="0" applyFont="1"/>
    <xf numFmtId="8" fontId="3" fillId="0" borderId="0" xfId="0" applyNumberFormat="1" applyFont="1"/>
    <xf numFmtId="44" fontId="3" fillId="0" borderId="0" xfId="1" applyFont="1"/>
    <xf numFmtId="6" fontId="0" fillId="0" borderId="0" xfId="1" applyNumberFormat="1" applyFont="1"/>
    <xf numFmtId="44" fontId="0" fillId="0" borderId="0" xfId="1" applyFont="1"/>
    <xf numFmtId="44" fontId="0" fillId="0" borderId="0" xfId="0" applyNumberFormat="1"/>
    <xf numFmtId="6" fontId="8" fillId="0" borderId="0" xfId="0" applyNumberFormat="1" applyFont="1"/>
    <xf numFmtId="0" fontId="8" fillId="0" borderId="0" xfId="0" applyFont="1"/>
    <xf numFmtId="10" fontId="13" fillId="0" borderId="0" xfId="3" applyNumberFormat="1" applyFont="1"/>
    <xf numFmtId="10" fontId="14" fillId="0" borderId="0" xfId="3" applyNumberFormat="1" applyFont="1"/>
    <xf numFmtId="0" fontId="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10" fontId="12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10" fontId="19" fillId="0" borderId="0" xfId="3" applyNumberFormat="1" applyFont="1" applyAlignment="1">
      <alignment horizontal="right"/>
    </xf>
    <xf numFmtId="0" fontId="10" fillId="0" borderId="0" xfId="0" applyFont="1"/>
    <xf numFmtId="0" fontId="18" fillId="0" borderId="0" xfId="0" applyFont="1"/>
    <xf numFmtId="166" fontId="16" fillId="0" borderId="0" xfId="0" applyNumberFormat="1" applyFont="1"/>
    <xf numFmtId="166" fontId="16" fillId="0" borderId="0" xfId="2" applyNumberFormat="1" applyFont="1"/>
    <xf numFmtId="0" fontId="18" fillId="0" borderId="0" xfId="0" quotePrefix="1" applyFont="1"/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164" fontId="6" fillId="0" borderId="4" xfId="1" applyNumberFormat="1" applyFont="1" applyBorder="1"/>
    <xf numFmtId="0" fontId="20" fillId="0" borderId="0" xfId="0" applyFont="1"/>
    <xf numFmtId="0" fontId="21" fillId="0" borderId="0" xfId="0" applyFont="1"/>
    <xf numFmtId="10" fontId="22" fillId="0" borderId="0" xfId="0" applyNumberFormat="1" applyFont="1"/>
    <xf numFmtId="164" fontId="11" fillId="7" borderId="1" xfId="1" applyNumberFormat="1" applyFont="1" applyFill="1" applyBorder="1"/>
    <xf numFmtId="0" fontId="3" fillId="7" borderId="4" xfId="0" applyFont="1" applyFill="1" applyBorder="1" applyAlignment="1">
      <alignment horizontal="center"/>
    </xf>
    <xf numFmtId="0" fontId="4" fillId="6" borderId="2" xfId="0" applyFont="1" applyFill="1" applyBorder="1"/>
    <xf numFmtId="0" fontId="3" fillId="6" borderId="4" xfId="0" applyFont="1" applyFill="1" applyBorder="1" applyAlignment="1">
      <alignment horizontal="center"/>
    </xf>
    <xf numFmtId="164" fontId="4" fillId="6" borderId="1" xfId="1" applyNumberFormat="1" applyFont="1" applyFill="1" applyBorder="1"/>
    <xf numFmtId="0" fontId="11" fillId="7" borderId="2" xfId="0" applyFont="1" applyFill="1" applyBorder="1"/>
    <xf numFmtId="165" fontId="3" fillId="2" borderId="1" xfId="2" applyNumberFormat="1" applyFont="1" applyFill="1" applyBorder="1"/>
    <xf numFmtId="0" fontId="23" fillId="0" borderId="0" xfId="0" applyFont="1"/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8" borderId="0" xfId="0" applyFont="1" applyFill="1" applyAlignment="1">
      <alignment horizontal="center"/>
    </xf>
    <xf numFmtId="44" fontId="25" fillId="8" borderId="0" xfId="0" applyNumberFormat="1" applyFont="1" applyFill="1" applyAlignment="1">
      <alignment horizontal="center"/>
    </xf>
    <xf numFmtId="167" fontId="8" fillId="0" borderId="0" xfId="0" applyNumberFormat="1" applyFont="1"/>
    <xf numFmtId="0" fontId="8" fillId="8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26" fillId="0" borderId="0" xfId="0" applyFont="1"/>
    <xf numFmtId="0" fontId="27" fillId="9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4" fillId="0" borderId="1" xfId="0" applyFont="1" applyBorder="1"/>
    <xf numFmtId="2" fontId="4" fillId="2" borderId="2" xfId="0" applyNumberFormat="1" applyFont="1" applyFill="1" applyBorder="1" applyAlignment="1">
      <alignment horizontal="center"/>
    </xf>
    <xf numFmtId="0" fontId="17" fillId="0" borderId="0" xfId="0" applyFont="1"/>
    <xf numFmtId="10" fontId="18" fillId="8" borderId="0" xfId="0" applyNumberFormat="1" applyFont="1" applyFill="1" applyAlignment="1">
      <alignment horizontal="right"/>
    </xf>
    <xf numFmtId="10" fontId="16" fillId="0" borderId="0" xfId="0" applyNumberFormat="1" applyFont="1" applyAlignment="1">
      <alignment horizontal="right"/>
    </xf>
    <xf numFmtId="44" fontId="15" fillId="0" borderId="0" xfId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3" fillId="7" borderId="2" xfId="0" applyFont="1" applyFill="1" applyBorder="1"/>
    <xf numFmtId="164" fontId="3" fillId="7" borderId="1" xfId="1" applyNumberFormat="1" applyFont="1" applyFill="1" applyBorder="1"/>
    <xf numFmtId="0" fontId="4" fillId="7" borderId="2" xfId="0" applyFont="1" applyFill="1" applyBorder="1"/>
    <xf numFmtId="164" fontId="4" fillId="7" borderId="1" xfId="1" applyNumberFormat="1" applyFont="1" applyFill="1" applyBorder="1"/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7" borderId="2" xfId="0" applyFont="1" applyFill="1" applyBorder="1"/>
    <xf numFmtId="164" fontId="6" fillId="2" borderId="4" xfId="1" applyNumberFormat="1" applyFont="1" applyFill="1" applyBorder="1"/>
    <xf numFmtId="164" fontId="6" fillId="2" borderId="1" xfId="1" applyNumberFormat="1" applyFont="1" applyFill="1" applyBorder="1"/>
    <xf numFmtId="10" fontId="19" fillId="10" borderId="0" xfId="3" applyNumberFormat="1" applyFont="1" applyFill="1" applyAlignment="1">
      <alignment horizontal="right"/>
    </xf>
    <xf numFmtId="164" fontId="2" fillId="11" borderId="0" xfId="1" applyNumberFormat="1" applyFont="1" applyFill="1" applyAlignment="1">
      <alignment horizontal="right" wrapText="1"/>
    </xf>
    <xf numFmtId="10" fontId="32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/>
    <xf numFmtId="14" fontId="33" fillId="2" borderId="0" xfId="0" applyNumberFormat="1" applyFont="1" applyFill="1"/>
    <xf numFmtId="168" fontId="33" fillId="0" borderId="0" xfId="0" applyNumberFormat="1" applyFont="1"/>
    <xf numFmtId="6" fontId="33" fillId="0" borderId="0" xfId="0" applyNumberFormat="1" applyFont="1"/>
    <xf numFmtId="6" fontId="31" fillId="0" borderId="0" xfId="0" applyNumberFormat="1" applyFont="1"/>
    <xf numFmtId="9" fontId="33" fillId="0" borderId="0" xfId="3" applyFont="1"/>
    <xf numFmtId="44" fontId="32" fillId="0" borderId="0" xfId="1" applyFont="1" applyAlignment="1">
      <alignment horizontal="right" wrapText="1"/>
    </xf>
    <xf numFmtId="0" fontId="4" fillId="6" borderId="2" xfId="0" applyFont="1" applyFill="1" applyBorder="1" applyAlignment="1">
      <alignment horizontal="centerContinuous"/>
    </xf>
    <xf numFmtId="0" fontId="3" fillId="6" borderId="3" xfId="0" applyFont="1" applyFill="1" applyBorder="1" applyAlignment="1">
      <alignment horizontal="centerContinuous"/>
    </xf>
    <xf numFmtId="0" fontId="3" fillId="6" borderId="4" xfId="0" applyFont="1" applyFill="1" applyBorder="1" applyAlignment="1">
      <alignment horizontal="centerContinuous"/>
    </xf>
    <xf numFmtId="0" fontId="8" fillId="12" borderId="0" xfId="0" applyFont="1" applyFill="1" applyAlignment="1">
      <alignment horizontal="center"/>
    </xf>
    <xf numFmtId="0" fontId="27" fillId="12" borderId="1" xfId="0" applyFont="1" applyFill="1" applyBorder="1" applyAlignment="1">
      <alignment horizontal="center"/>
    </xf>
    <xf numFmtId="0" fontId="34" fillId="0" borderId="0" xfId="0" applyFont="1"/>
    <xf numFmtId="0" fontId="35" fillId="0" borderId="0" xfId="4" applyFont="1"/>
    <xf numFmtId="0" fontId="35" fillId="0" borderId="0" xfId="4" applyFont="1" applyAlignment="1">
      <alignment horizontal="center"/>
    </xf>
    <xf numFmtId="0" fontId="35" fillId="0" borderId="0" xfId="4" applyFont="1" applyAlignment="1">
      <alignment horizontal="center" vertical="top"/>
    </xf>
    <xf numFmtId="0" fontId="35" fillId="13" borderId="1" xfId="4" applyFont="1" applyFill="1" applyBorder="1" applyAlignment="1">
      <alignment horizontal="center" vertical="top" wrapText="1"/>
    </xf>
    <xf numFmtId="0" fontId="35" fillId="0" borderId="0" xfId="4" applyFont="1" applyAlignment="1">
      <alignment horizontal="center" vertical="top" wrapText="1"/>
    </xf>
    <xf numFmtId="0" fontId="35" fillId="12" borderId="1" xfId="4" applyFont="1" applyFill="1" applyBorder="1" applyAlignment="1">
      <alignment horizontal="center" vertical="top" wrapText="1"/>
    </xf>
    <xf numFmtId="0" fontId="36" fillId="0" borderId="0" xfId="4" applyFont="1"/>
    <xf numFmtId="0" fontId="36" fillId="0" borderId="0" xfId="4" applyFont="1" applyAlignment="1">
      <alignment vertical="top"/>
    </xf>
    <xf numFmtId="0" fontId="36" fillId="0" borderId="0" xfId="4" applyFont="1" applyAlignment="1">
      <alignment horizontal="center" vertical="top"/>
    </xf>
    <xf numFmtId="0" fontId="35" fillId="0" borderId="0" xfId="4" applyFont="1" applyAlignment="1">
      <alignment vertical="top" wrapText="1"/>
    </xf>
    <xf numFmtId="0" fontId="35" fillId="0" borderId="3" xfId="4" applyFont="1" applyBorder="1"/>
    <xf numFmtId="0" fontId="35" fillId="0" borderId="3" xfId="4" applyFont="1" applyBorder="1" applyAlignment="1">
      <alignment horizontal="center"/>
    </xf>
    <xf numFmtId="169" fontId="35" fillId="0" borderId="3" xfId="4" applyNumberFormat="1" applyFont="1" applyBorder="1"/>
    <xf numFmtId="169" fontId="35" fillId="0" borderId="3" xfId="4" applyNumberFormat="1" applyFont="1" applyBorder="1" applyAlignment="1">
      <alignment horizontal="right"/>
    </xf>
    <xf numFmtId="170" fontId="35" fillId="2" borderId="3" xfId="4" applyNumberFormat="1" applyFont="1" applyFill="1" applyBorder="1"/>
    <xf numFmtId="0" fontId="36" fillId="0" borderId="0" xfId="4" applyFont="1" applyAlignment="1">
      <alignment horizontal="center"/>
    </xf>
    <xf numFmtId="169" fontId="36" fillId="0" borderId="0" xfId="4" applyNumberFormat="1" applyFont="1"/>
    <xf numFmtId="170" fontId="36" fillId="0" borderId="0" xfId="4" applyNumberFormat="1" applyFont="1"/>
    <xf numFmtId="0" fontId="38" fillId="14" borderId="0" xfId="5" applyFill="1" applyAlignment="1">
      <alignment vertical="center"/>
    </xf>
    <xf numFmtId="0" fontId="39" fillId="14" borderId="0" xfId="5" applyFont="1" applyFill="1" applyAlignment="1">
      <alignment horizontal="right" vertical="center"/>
    </xf>
    <xf numFmtId="0" fontId="39" fillId="14" borderId="0" xfId="5" applyFont="1" applyFill="1" applyAlignment="1">
      <alignment horizontal="left" vertical="center"/>
    </xf>
    <xf numFmtId="14" fontId="39" fillId="0" borderId="0" xfId="5" applyNumberFormat="1" applyFont="1" applyAlignment="1">
      <alignment horizontal="left" vertical="center"/>
    </xf>
    <xf numFmtId="171" fontId="39" fillId="0" borderId="0" xfId="5" applyNumberFormat="1" applyFont="1" applyAlignment="1">
      <alignment horizontal="right" vertical="center"/>
    </xf>
    <xf numFmtId="172" fontId="39" fillId="0" borderId="0" xfId="5" applyNumberFormat="1" applyFont="1" applyAlignment="1">
      <alignment horizontal="right" vertical="center"/>
    </xf>
    <xf numFmtId="172" fontId="39" fillId="15" borderId="0" xfId="5" applyNumberFormat="1" applyFont="1" applyFill="1" applyAlignment="1">
      <alignment horizontal="right" vertical="center"/>
    </xf>
    <xf numFmtId="0" fontId="39" fillId="0" borderId="0" xfId="5" applyFont="1" applyAlignment="1">
      <alignment horizontal="left" vertical="center"/>
    </xf>
    <xf numFmtId="173" fontId="39" fillId="15" borderId="0" xfId="5" applyNumberFormat="1" applyFont="1" applyFill="1" applyAlignment="1">
      <alignment horizontal="right" vertical="center"/>
    </xf>
    <xf numFmtId="173" fontId="39" fillId="0" borderId="0" xfId="5" applyNumberFormat="1" applyFont="1" applyAlignment="1">
      <alignment horizontal="right" vertical="center"/>
    </xf>
    <xf numFmtId="0" fontId="39" fillId="16" borderId="0" xfId="5" applyFont="1" applyFill="1" applyAlignment="1">
      <alignment horizontal="left" vertical="center"/>
    </xf>
    <xf numFmtId="14" fontId="39" fillId="15" borderId="0" xfId="5" applyNumberFormat="1" applyFont="1" applyFill="1" applyAlignment="1">
      <alignment horizontal="left" vertical="center"/>
    </xf>
    <xf numFmtId="171" fontId="39" fillId="15" borderId="0" xfId="5" applyNumberFormat="1" applyFont="1" applyFill="1" applyAlignment="1">
      <alignment horizontal="right" vertical="center"/>
    </xf>
    <xf numFmtId="174" fontId="39" fillId="15" borderId="0" xfId="5" applyNumberFormat="1" applyFont="1" applyFill="1" applyAlignment="1">
      <alignment horizontal="right" vertical="center"/>
    </xf>
    <xf numFmtId="174" fontId="39" fillId="0" borderId="0" xfId="5" applyNumberFormat="1" applyFont="1" applyAlignment="1">
      <alignment horizontal="right" vertical="center"/>
    </xf>
    <xf numFmtId="175" fontId="39" fillId="0" borderId="0" xfId="5" applyNumberFormat="1" applyFont="1" applyAlignment="1">
      <alignment horizontal="left" vertical="center"/>
    </xf>
    <xf numFmtId="176" fontId="39" fillId="0" borderId="0" xfId="5" applyNumberFormat="1" applyFont="1" applyAlignment="1">
      <alignment horizontal="right" vertical="center"/>
    </xf>
    <xf numFmtId="172" fontId="39" fillId="0" borderId="0" xfId="5" applyNumberFormat="1" applyFont="1" applyAlignment="1">
      <alignment horizontal="left" vertical="center"/>
    </xf>
    <xf numFmtId="177" fontId="39" fillId="0" borderId="0" xfId="5" applyNumberFormat="1" applyFont="1" applyAlignment="1">
      <alignment horizontal="right" vertical="center"/>
    </xf>
    <xf numFmtId="0" fontId="38" fillId="0" borderId="0" xfId="5"/>
    <xf numFmtId="0" fontId="15" fillId="14" borderId="0" xfId="6" applyFont="1" applyFill="1" applyAlignment="1">
      <alignment vertical="center"/>
    </xf>
    <xf numFmtId="0" fontId="41" fillId="14" borderId="0" xfId="6" applyFont="1" applyFill="1" applyAlignment="1">
      <alignment horizontal="right" vertical="center" wrapText="1"/>
    </xf>
    <xf numFmtId="0" fontId="41" fillId="14" borderId="0" xfId="6" applyFont="1" applyFill="1" applyAlignment="1">
      <alignment horizontal="left" vertical="center" wrapText="1"/>
    </xf>
    <xf numFmtId="14" fontId="41" fillId="14" borderId="0" xfId="6" applyNumberFormat="1" applyFont="1" applyFill="1" applyAlignment="1">
      <alignment horizontal="left" vertical="center" wrapText="1"/>
    </xf>
    <xf numFmtId="171" fontId="41" fillId="14" borderId="0" xfId="6" applyNumberFormat="1" applyFont="1" applyFill="1" applyAlignment="1">
      <alignment horizontal="right" vertical="center" wrapText="1"/>
    </xf>
    <xf numFmtId="172" fontId="41" fillId="14" borderId="0" xfId="6" applyNumberFormat="1" applyFont="1" applyFill="1" applyAlignment="1">
      <alignment horizontal="right" vertical="center" wrapText="1"/>
    </xf>
    <xf numFmtId="172" fontId="41" fillId="14" borderId="0" xfId="6" applyNumberFormat="1" applyFont="1" applyFill="1" applyAlignment="1">
      <alignment horizontal="right" vertical="center"/>
    </xf>
    <xf numFmtId="173" fontId="41" fillId="14" borderId="0" xfId="6" applyNumberFormat="1" applyFont="1" applyFill="1" applyAlignment="1">
      <alignment horizontal="right" vertical="center" wrapText="1"/>
    </xf>
    <xf numFmtId="174" fontId="41" fillId="14" borderId="0" xfId="6" applyNumberFormat="1" applyFont="1" applyFill="1" applyAlignment="1">
      <alignment horizontal="right" vertical="center" wrapText="1"/>
    </xf>
    <xf numFmtId="0" fontId="41" fillId="14" borderId="0" xfId="6" applyFont="1" applyFill="1" applyAlignment="1">
      <alignment horizontal="left" vertical="center"/>
    </xf>
    <xf numFmtId="176" fontId="41" fillId="14" borderId="0" xfId="6" applyNumberFormat="1" applyFont="1" applyFill="1" applyAlignment="1">
      <alignment horizontal="right" vertical="center" wrapText="1"/>
    </xf>
    <xf numFmtId="172" fontId="41" fillId="14" borderId="0" xfId="6" applyNumberFormat="1" applyFont="1" applyFill="1" applyAlignment="1">
      <alignment horizontal="left" vertical="center" wrapText="1"/>
    </xf>
    <xf numFmtId="177" fontId="41" fillId="14" borderId="0" xfId="6" applyNumberFormat="1" applyFont="1" applyFill="1" applyAlignment="1">
      <alignment horizontal="right" vertical="center" wrapText="1"/>
    </xf>
    <xf numFmtId="0" fontId="3" fillId="0" borderId="0" xfId="4" applyFont="1"/>
    <xf numFmtId="0" fontId="40" fillId="17" borderId="0" xfId="6" applyFill="1" applyAlignment="1">
      <alignment vertical="center"/>
    </xf>
    <xf numFmtId="0" fontId="38" fillId="17" borderId="0" xfId="5" applyFill="1"/>
    <xf numFmtId="0" fontId="40" fillId="14" borderId="0" xfId="6" applyFill="1" applyAlignment="1">
      <alignment vertical="center"/>
    </xf>
    <xf numFmtId="0" fontId="42" fillId="14" borderId="0" xfId="6" applyFont="1" applyFill="1" applyAlignment="1">
      <alignment horizontal="right" vertical="center"/>
    </xf>
    <xf numFmtId="0" fontId="42" fillId="14" borderId="0" xfId="6" applyFont="1" applyFill="1" applyAlignment="1">
      <alignment horizontal="left" vertical="center"/>
    </xf>
    <xf numFmtId="14" fontId="42" fillId="0" borderId="0" xfId="6" applyNumberFormat="1" applyFont="1" applyAlignment="1">
      <alignment horizontal="left" vertical="center"/>
    </xf>
    <xf numFmtId="171" fontId="42" fillId="0" borderId="0" xfId="6" applyNumberFormat="1" applyFont="1" applyAlignment="1">
      <alignment horizontal="right" vertical="center"/>
    </xf>
    <xf numFmtId="172" fontId="42" fillId="0" borderId="0" xfId="6" applyNumberFormat="1" applyFont="1" applyAlignment="1">
      <alignment horizontal="right" vertical="center"/>
    </xf>
    <xf numFmtId="172" fontId="42" fillId="15" borderId="0" xfId="6" applyNumberFormat="1" applyFont="1" applyFill="1" applyAlignment="1">
      <alignment horizontal="right" vertical="center"/>
    </xf>
    <xf numFmtId="0" fontId="42" fillId="0" borderId="0" xfId="6" applyFont="1" applyAlignment="1">
      <alignment horizontal="left" vertical="center"/>
    </xf>
    <xf numFmtId="173" fontId="42" fillId="15" borderId="0" xfId="6" applyNumberFormat="1" applyFont="1" applyFill="1" applyAlignment="1">
      <alignment horizontal="right" vertical="center"/>
    </xf>
    <xf numFmtId="173" fontId="42" fillId="0" borderId="0" xfId="6" applyNumberFormat="1" applyFont="1" applyAlignment="1">
      <alignment horizontal="right" vertical="center"/>
    </xf>
    <xf numFmtId="0" fontId="42" fillId="16" borderId="0" xfId="6" applyFont="1" applyFill="1" applyAlignment="1">
      <alignment horizontal="left" vertical="center"/>
    </xf>
    <xf numFmtId="14" fontId="42" fillId="15" borderId="0" xfId="6" applyNumberFormat="1" applyFont="1" applyFill="1" applyAlignment="1">
      <alignment horizontal="left" vertical="center"/>
    </xf>
    <xf numFmtId="171" fontId="42" fillId="15" borderId="0" xfId="6" applyNumberFormat="1" applyFont="1" applyFill="1" applyAlignment="1">
      <alignment horizontal="right" vertical="center"/>
    </xf>
    <xf numFmtId="174" fontId="42" fillId="15" borderId="0" xfId="6" applyNumberFormat="1" applyFont="1" applyFill="1" applyAlignment="1">
      <alignment horizontal="right" vertical="center"/>
    </xf>
    <xf numFmtId="174" fontId="42" fillId="0" borderId="0" xfId="6" applyNumberFormat="1" applyFont="1" applyAlignment="1">
      <alignment horizontal="right" vertical="center"/>
    </xf>
    <xf numFmtId="175" fontId="42" fillId="0" borderId="0" xfId="6" applyNumberFormat="1" applyFont="1" applyAlignment="1">
      <alignment horizontal="left" vertical="center"/>
    </xf>
    <xf numFmtId="176" fontId="42" fillId="0" borderId="0" xfId="6" applyNumberFormat="1" applyFont="1" applyAlignment="1">
      <alignment horizontal="right" vertical="center"/>
    </xf>
    <xf numFmtId="172" fontId="42" fillId="0" borderId="0" xfId="6" applyNumberFormat="1" applyFont="1" applyAlignment="1">
      <alignment horizontal="left" vertical="center"/>
    </xf>
    <xf numFmtId="177" fontId="42" fillId="0" borderId="0" xfId="6" applyNumberFormat="1" applyFont="1" applyAlignment="1">
      <alignment horizontal="right" vertical="center"/>
    </xf>
    <xf numFmtId="0" fontId="40" fillId="18" borderId="0" xfId="6" applyFill="1" applyAlignment="1">
      <alignment vertical="center"/>
    </xf>
    <xf numFmtId="0" fontId="38" fillId="18" borderId="0" xfId="5" applyFill="1"/>
    <xf numFmtId="0" fontId="15" fillId="14" borderId="0" xfId="5" applyFont="1" applyFill="1" applyAlignment="1">
      <alignment vertical="center"/>
    </xf>
    <xf numFmtId="0" fontId="15" fillId="14" borderId="0" xfId="5" applyFont="1" applyFill="1" applyAlignment="1">
      <alignment horizontal="right" vertical="center"/>
    </xf>
    <xf numFmtId="0" fontId="15" fillId="14" borderId="0" xfId="5" applyFont="1" applyFill="1" applyAlignment="1">
      <alignment horizontal="left" vertical="center"/>
    </xf>
    <xf numFmtId="14" fontId="15" fillId="0" borderId="0" xfId="5" applyNumberFormat="1" applyFont="1" applyAlignment="1">
      <alignment horizontal="left" vertical="center"/>
    </xf>
    <xf numFmtId="171" fontId="15" fillId="0" borderId="0" xfId="5" applyNumberFormat="1" applyFont="1" applyAlignment="1">
      <alignment horizontal="right" vertical="center"/>
    </xf>
    <xf numFmtId="172" fontId="15" fillId="0" borderId="0" xfId="5" applyNumberFormat="1" applyFont="1" applyAlignment="1">
      <alignment horizontal="right" vertical="center"/>
    </xf>
    <xf numFmtId="172" fontId="15" fillId="15" borderId="0" xfId="5" applyNumberFormat="1" applyFont="1" applyFill="1" applyAlignment="1">
      <alignment horizontal="right" vertical="center"/>
    </xf>
    <xf numFmtId="0" fontId="15" fillId="0" borderId="0" xfId="5" applyFont="1" applyAlignment="1">
      <alignment horizontal="left" vertical="center"/>
    </xf>
    <xf numFmtId="173" fontId="15" fillId="15" borderId="0" xfId="5" applyNumberFormat="1" applyFont="1" applyFill="1" applyAlignment="1">
      <alignment horizontal="right" vertical="center"/>
    </xf>
    <xf numFmtId="173" fontId="15" fillId="0" borderId="0" xfId="5" applyNumberFormat="1" applyFont="1" applyAlignment="1">
      <alignment horizontal="right" vertical="center"/>
    </xf>
    <xf numFmtId="0" fontId="15" fillId="16" borderId="0" xfId="5" applyFont="1" applyFill="1" applyAlignment="1">
      <alignment horizontal="left" vertical="center"/>
    </xf>
    <xf numFmtId="14" fontId="15" fillId="15" borderId="0" xfId="5" applyNumberFormat="1" applyFont="1" applyFill="1" applyAlignment="1">
      <alignment horizontal="left" vertical="center"/>
    </xf>
    <xf numFmtId="171" fontId="15" fillId="15" borderId="0" xfId="5" applyNumberFormat="1" applyFont="1" applyFill="1" applyAlignment="1">
      <alignment horizontal="right" vertical="center"/>
    </xf>
    <xf numFmtId="174" fontId="15" fillId="15" borderId="0" xfId="5" applyNumberFormat="1" applyFont="1" applyFill="1" applyAlignment="1">
      <alignment horizontal="right" vertical="center"/>
    </xf>
    <xf numFmtId="174" fontId="15" fillId="0" borderId="0" xfId="5" applyNumberFormat="1" applyFont="1" applyAlignment="1">
      <alignment horizontal="right" vertical="center"/>
    </xf>
    <xf numFmtId="174" fontId="41" fillId="0" borderId="0" xfId="5" applyNumberFormat="1" applyFont="1" applyAlignment="1">
      <alignment horizontal="right" vertical="center"/>
    </xf>
    <xf numFmtId="175" fontId="15" fillId="0" borderId="0" xfId="5" applyNumberFormat="1" applyFont="1" applyAlignment="1">
      <alignment horizontal="left" vertical="center"/>
    </xf>
    <xf numFmtId="176" fontId="15" fillId="0" borderId="0" xfId="5" applyNumberFormat="1" applyFont="1" applyAlignment="1">
      <alignment horizontal="right" vertical="center"/>
    </xf>
    <xf numFmtId="172" fontId="15" fillId="0" borderId="0" xfId="5" applyNumberFormat="1" applyFont="1" applyAlignment="1">
      <alignment horizontal="left" vertical="center"/>
    </xf>
    <xf numFmtId="177" fontId="15" fillId="0" borderId="0" xfId="5" applyNumberFormat="1" applyFont="1" applyAlignment="1">
      <alignment horizontal="right" vertical="center"/>
    </xf>
    <xf numFmtId="0" fontId="15" fillId="0" borderId="0" xfId="5" applyFont="1"/>
    <xf numFmtId="0" fontId="3" fillId="0" borderId="0" xfId="4" applyFont="1" applyAlignment="1">
      <alignment horizontal="center"/>
    </xf>
    <xf numFmtId="4" fontId="35" fillId="18" borderId="1" xfId="4" applyNumberFormat="1" applyFont="1" applyFill="1" applyBorder="1"/>
    <xf numFmtId="4" fontId="36" fillId="0" borderId="0" xfId="4" applyNumberFormat="1" applyFont="1"/>
    <xf numFmtId="14" fontId="36" fillId="0" borderId="0" xfId="4" applyNumberFormat="1" applyFont="1"/>
    <xf numFmtId="0" fontId="37" fillId="0" borderId="0" xfId="4" applyFont="1"/>
    <xf numFmtId="0" fontId="43" fillId="0" borderId="0" xfId="4" applyFont="1" applyAlignment="1">
      <alignment vertical="top"/>
    </xf>
    <xf numFmtId="0" fontId="44" fillId="0" borderId="0" xfId="0" applyFont="1" applyAlignment="1">
      <alignment horizontal="center"/>
    </xf>
    <xf numFmtId="14" fontId="44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8" fillId="8" borderId="0" xfId="0" applyFont="1" applyFill="1" applyAlignment="1">
      <alignment horizontal="left" wrapText="1"/>
    </xf>
    <xf numFmtId="44" fontId="15" fillId="12" borderId="0" xfId="1" applyFont="1" applyFill="1" applyAlignment="1">
      <alignment horizontal="right"/>
    </xf>
    <xf numFmtId="0" fontId="18" fillId="12" borderId="0" xfId="0" applyFont="1" applyFill="1" applyAlignment="1">
      <alignment horizontal="left" wrapText="1"/>
    </xf>
    <xf numFmtId="44" fontId="28" fillId="12" borderId="0" xfId="1" applyFont="1" applyFill="1" applyAlignment="1">
      <alignment horizontal="right"/>
    </xf>
    <xf numFmtId="0" fontId="48" fillId="0" borderId="0" xfId="0" applyFont="1"/>
    <xf numFmtId="0" fontId="49" fillId="0" borderId="0" xfId="0" applyFont="1" applyAlignment="1">
      <alignment horizontal="left" wrapText="1"/>
    </xf>
    <xf numFmtId="0" fontId="16" fillId="13" borderId="0" xfId="0" applyFont="1" applyFill="1" applyAlignment="1">
      <alignment horizontal="left" wrapText="1"/>
    </xf>
    <xf numFmtId="10" fontId="16" fillId="12" borderId="0" xfId="0" applyNumberFormat="1" applyFont="1" applyFill="1" applyAlignment="1">
      <alignment horizontal="right"/>
    </xf>
    <xf numFmtId="44" fontId="15" fillId="19" borderId="0" xfId="1" applyFont="1" applyFill="1" applyAlignment="1">
      <alignment horizontal="right"/>
    </xf>
    <xf numFmtId="164" fontId="50" fillId="3" borderId="0" xfId="1" applyNumberFormat="1" applyFont="1" applyFill="1" applyAlignment="1">
      <alignment horizontal="right" wrapText="1"/>
    </xf>
    <xf numFmtId="0" fontId="9" fillId="0" borderId="1" xfId="0" applyFont="1" applyBorder="1" applyAlignment="1">
      <alignment wrapText="1"/>
    </xf>
    <xf numFmtId="10" fontId="51" fillId="0" borderId="1" xfId="0" applyNumberFormat="1" applyFont="1" applyBorder="1" applyAlignment="1">
      <alignment horizontal="right"/>
    </xf>
    <xf numFmtId="44" fontId="16" fillId="0" borderId="0" xfId="0" applyNumberFormat="1" applyFont="1"/>
    <xf numFmtId="164" fontId="50" fillId="20" borderId="0" xfId="1" applyNumberFormat="1" applyFont="1" applyFill="1" applyAlignment="1">
      <alignment horizontal="right" wrapText="1"/>
    </xf>
    <xf numFmtId="164" fontId="52" fillId="0" borderId="0" xfId="1" applyNumberFormat="1" applyFont="1"/>
    <xf numFmtId="164" fontId="3" fillId="5" borderId="1" xfId="1" applyNumberFormat="1" applyFont="1" applyFill="1" applyBorder="1"/>
    <xf numFmtId="44" fontId="3" fillId="0" borderId="0" xfId="1" applyFont="1" applyFill="1"/>
    <xf numFmtId="0" fontId="3" fillId="2" borderId="0" xfId="0" applyFont="1" applyFill="1"/>
    <xf numFmtId="0" fontId="53" fillId="0" borderId="0" xfId="0" applyFont="1" applyAlignment="1">
      <alignment horizontal="center"/>
    </xf>
    <xf numFmtId="44" fontId="15" fillId="17" borderId="0" xfId="1" applyFont="1" applyFill="1"/>
    <xf numFmtId="0" fontId="8" fillId="21" borderId="0" xfId="0" applyFont="1" applyFill="1" applyAlignment="1">
      <alignment horizontal="center"/>
    </xf>
    <xf numFmtId="0" fontId="27" fillId="21" borderId="1" xfId="0" applyFont="1" applyFill="1" applyBorder="1" applyAlignment="1">
      <alignment horizontal="center"/>
    </xf>
    <xf numFmtId="178" fontId="8" fillId="0" borderId="0" xfId="0" applyNumberFormat="1" applyFont="1"/>
    <xf numFmtId="6" fontId="0" fillId="6" borderId="0" xfId="1" applyNumberFormat="1" applyFont="1" applyFill="1"/>
    <xf numFmtId="44" fontId="15" fillId="0" borderId="0" xfId="1" applyFont="1" applyFill="1"/>
    <xf numFmtId="0" fontId="4" fillId="2" borderId="2" xfId="0" quotePrefix="1" applyFont="1" applyFill="1" applyBorder="1" applyAlignment="1">
      <alignment horizontal="left"/>
    </xf>
    <xf numFmtId="44" fontId="3" fillId="17" borderId="0" xfId="1" applyFont="1" applyFill="1"/>
    <xf numFmtId="0" fontId="3" fillId="17" borderId="0" xfId="0" applyFont="1" applyFill="1"/>
    <xf numFmtId="0" fontId="3" fillId="17" borderId="0" xfId="0" quotePrefix="1" applyFont="1" applyFill="1" applyAlignment="1">
      <alignment horizontal="left"/>
    </xf>
    <xf numFmtId="0" fontId="55" fillId="0" borderId="0" xfId="0" applyFont="1"/>
    <xf numFmtId="164" fontId="56" fillId="0" borderId="0" xfId="1" applyNumberFormat="1" applyFont="1"/>
    <xf numFmtId="10" fontId="30" fillId="0" borderId="0" xfId="0" applyNumberFormat="1" applyFont="1"/>
    <xf numFmtId="164" fontId="30" fillId="3" borderId="0" xfId="1" applyNumberFormat="1" applyFont="1" applyFill="1" applyAlignment="1">
      <alignment horizontal="right"/>
    </xf>
    <xf numFmtId="0" fontId="30" fillId="3" borderId="0" xfId="0" applyFont="1" applyFill="1"/>
    <xf numFmtId="14" fontId="30" fillId="3" borderId="0" xfId="0" applyNumberFormat="1" applyFont="1" applyFill="1"/>
    <xf numFmtId="44" fontId="55" fillId="0" borderId="0" xfId="1" applyFont="1" applyFill="1"/>
    <xf numFmtId="44" fontId="55" fillId="22" borderId="0" xfId="1" applyFont="1" applyFill="1"/>
    <xf numFmtId="44" fontId="55" fillId="0" borderId="0" xfId="1" applyFont="1"/>
    <xf numFmtId="0" fontId="55" fillId="0" borderId="0" xfId="0" quotePrefix="1" applyFont="1" applyAlignment="1">
      <alignment horizontal="left"/>
    </xf>
    <xf numFmtId="0" fontId="54" fillId="0" borderId="0" xfId="0" applyFont="1"/>
    <xf numFmtId="0" fontId="57" fillId="0" borderId="0" xfId="0" applyFont="1" applyAlignment="1">
      <alignment horizontal="center"/>
    </xf>
    <xf numFmtId="14" fontId="57" fillId="0" borderId="0" xfId="0" applyNumberFormat="1" applyFont="1" applyAlignment="1">
      <alignment horizontal="center"/>
    </xf>
    <xf numFmtId="164" fontId="55" fillId="0" borderId="0" xfId="1" applyNumberFormat="1" applyFont="1"/>
    <xf numFmtId="0" fontId="58" fillId="3" borderId="0" xfId="0" applyFont="1" applyFill="1"/>
    <xf numFmtId="0" fontId="59" fillId="0" borderId="0" xfId="0" applyFont="1"/>
    <xf numFmtId="44" fontId="59" fillId="0" borderId="0" xfId="1" applyFont="1" applyFill="1"/>
    <xf numFmtId="44" fontId="60" fillId="17" borderId="0" xfId="1" applyFont="1" applyFill="1"/>
    <xf numFmtId="44" fontId="59" fillId="0" borderId="0" xfId="1" applyFont="1"/>
    <xf numFmtId="0" fontId="59" fillId="0" borderId="0" xfId="0" quotePrefix="1" applyFont="1" applyAlignment="1">
      <alignment horizontal="left"/>
    </xf>
    <xf numFmtId="0" fontId="29" fillId="4" borderId="1" xfId="0" applyFont="1" applyFill="1" applyBorder="1" applyAlignment="1">
      <alignment horizontal="center" wrapText="1"/>
    </xf>
    <xf numFmtId="0" fontId="61" fillId="0" borderId="0" xfId="0" applyFont="1" applyAlignment="1">
      <alignment horizontal="center"/>
    </xf>
    <xf numFmtId="14" fontId="61" fillId="0" borderId="0" xfId="0" applyNumberFormat="1" applyFont="1" applyAlignment="1">
      <alignment horizontal="center"/>
    </xf>
    <xf numFmtId="0" fontId="62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10" fontId="16" fillId="0" borderId="0" xfId="3" applyNumberFormat="1" applyFont="1"/>
    <xf numFmtId="10" fontId="55" fillId="0" borderId="0" xfId="0" applyNumberFormat="1" applyFont="1" applyAlignment="1">
      <alignment horizontal="right"/>
    </xf>
    <xf numFmtId="10" fontId="10" fillId="10" borderId="7" xfId="3" applyNumberFormat="1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 wrapText="1"/>
    </xf>
    <xf numFmtId="0" fontId="29" fillId="4" borderId="3" xfId="0" applyFont="1" applyFill="1" applyBorder="1" applyAlignment="1">
      <alignment horizontal="center" wrapText="1"/>
    </xf>
    <xf numFmtId="0" fontId="29" fillId="4" borderId="4" xfId="0" applyFont="1" applyFill="1" applyBorder="1" applyAlignment="1">
      <alignment horizontal="center" wrapText="1"/>
    </xf>
  </cellXfs>
  <cellStyles count="7">
    <cellStyle name="Comma" xfId="2" builtinId="3"/>
    <cellStyle name="Currency" xfId="1" builtinId="4"/>
    <cellStyle name="Normal" xfId="0" builtinId="0"/>
    <cellStyle name="Normal 2" xfId="4" xr:uid="{05AC5D67-5FFD-4765-B2A0-508213DF896F}"/>
    <cellStyle name="Normal 2 2" xfId="6" xr:uid="{308BE6E8-35FB-466B-9A8A-B09BD7E5C30B}"/>
    <cellStyle name="Normal 3" xfId="5" xr:uid="{8AFD84BA-AA99-4CE9-AE2C-F6F1C4782DF0}"/>
    <cellStyle name="Percent" xfId="3" builtinId="5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D1FFE6"/>
      <color rgb="FFBDE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alcChain" Target="calcChain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haredStrings" Target="sharedString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tyles" Target="styles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ustomXml" Target="/customXML/item2.xml" Id="R9da09ec646144bc6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427886</xdr:colOff>
      <xdr:row>43</xdr:row>
      <xdr:rowOff>56170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65249-4AEB-4E27-9AFD-0CDC532F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14286" cy="783809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22</xdr:col>
      <xdr:colOff>275276</xdr:colOff>
      <xdr:row>33</xdr:row>
      <xdr:rowOff>84968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1AE650-BF73-29AE-BDAF-626D48A8D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7590476" cy="60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255695</xdr:colOff>
      <xdr:row>47</xdr:row>
      <xdr:rowOff>75071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E1521-E8C3-4E9D-A5F6-E29A0034B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38095" cy="90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380114</xdr:colOff>
      <xdr:row>40</xdr:row>
      <xdr:rowOff>132419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9719C8-A915-4227-B57B-99186118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7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10</xdr:col>
      <xdr:colOff>532571</xdr:colOff>
      <xdr:row>60</xdr:row>
      <xdr:rowOff>182423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8AB194-E4EF-4C51-8CDA-007C83E23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8080"/>
          <a:ext cx="6628571" cy="3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11</xdr:col>
      <xdr:colOff>84876</xdr:colOff>
      <xdr:row>87</xdr:row>
      <xdr:rowOff>130834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8304D5-F4F3-42A8-AB39-6541C6E74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155680"/>
          <a:ext cx="6790476" cy="488571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24</xdr:col>
      <xdr:colOff>341943</xdr:colOff>
      <xdr:row>41</xdr:row>
      <xdr:rowOff>140015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20543-B7DE-4BCE-8488-04A2E539E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0"/>
          <a:ext cx="7657143" cy="763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42</xdr:row>
      <xdr:rowOff>0</xdr:rowOff>
    </xdr:from>
    <xdr:to>
      <xdr:col>24</xdr:col>
      <xdr:colOff>427657</xdr:colOff>
      <xdr:row>60</xdr:row>
      <xdr:rowOff>12922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287B51-3100-4E49-ABBA-A9D5E7E6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5200" y="7680960"/>
          <a:ext cx="7742857" cy="330476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61</xdr:row>
      <xdr:rowOff>0</xdr:rowOff>
    </xdr:from>
    <xdr:to>
      <xdr:col>24</xdr:col>
      <xdr:colOff>437181</xdr:colOff>
      <xdr:row>84</xdr:row>
      <xdr:rowOff>12808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4B20267-7B8C-4A84-A370-B06F0C0EF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15200" y="11155680"/>
          <a:ext cx="7752381" cy="42190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1F65F9-A30D-4593-A075-0BB824B60F8E}" name="Table2" displayName="Table2" ref="A1:B185" totalsRowShown="0">
  <autoFilter ref="A1:B185" xr:uid="{1F1F65F9-A30D-4593-A075-0BB824B60F8E}"/>
  <tableColumns count="2">
    <tableColumn id="1" xr3:uid="{3E496C8C-9637-4D04-AC3C-080340239CC2}" name="Allowance Code" dataDxfId="0"/>
    <tableColumn id="2" xr3:uid="{B4746FD2-3A7D-4D1F-A58F-F76C071623C6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7E8F-14E2-4006-A806-F9B249FDF57D}">
  <sheetPr>
    <tabColor theme="1"/>
    <pageSetUpPr fitToPage="1"/>
  </sheetPr>
  <dimension ref="B1:AP123"/>
  <sheetViews>
    <sheetView showGridLines="0" tabSelected="1" zoomScale="115" zoomScaleNormal="115" workbookViewId="0">
      <selection activeCell="X4" sqref="X4"/>
    </sheetView>
  </sheetViews>
  <sheetFormatPr defaultColWidth="9.33203125" defaultRowHeight="13.2" x14ac:dyDescent="0.25"/>
  <cols>
    <col min="1" max="1" width="1.6640625" style="2" customWidth="1"/>
    <col min="2" max="2" width="15.6640625" style="2" hidden="1" customWidth="1"/>
    <col min="3" max="3" width="13.5546875" style="3" hidden="1" customWidth="1"/>
    <col min="4" max="4" width="13.109375" style="2" hidden="1" customWidth="1"/>
    <col min="5" max="5" width="10.109375" style="2" hidden="1" customWidth="1"/>
    <col min="6" max="6" width="2.5546875" style="2" hidden="1" customWidth="1"/>
    <col min="7" max="7" width="12.6640625" style="2" hidden="1" customWidth="1"/>
    <col min="8" max="8" width="13.5546875" style="3" hidden="1" customWidth="1"/>
    <col min="9" max="9" width="11.33203125" style="2" hidden="1" customWidth="1"/>
    <col min="10" max="10" width="10.109375" style="2" hidden="1" customWidth="1"/>
    <col min="11" max="11" width="5.5546875" style="2" hidden="1" customWidth="1"/>
    <col min="12" max="12" width="12.6640625" style="2" hidden="1" customWidth="1"/>
    <col min="13" max="13" width="13.5546875" style="3" hidden="1" customWidth="1"/>
    <col min="14" max="14" width="10.44140625" style="2" hidden="1" customWidth="1"/>
    <col min="15" max="15" width="10.109375" style="2" hidden="1" customWidth="1"/>
    <col min="16" max="16" width="5.109375" style="2" hidden="1" customWidth="1"/>
    <col min="17" max="17" width="8.5546875" style="238" hidden="1" customWidth="1"/>
    <col min="18" max="18" width="27.5546875" style="251" hidden="1" customWidth="1"/>
    <col min="19" max="20" width="10.109375" style="238" hidden="1" customWidth="1"/>
    <col min="21" max="21" width="1.6640625" style="2" customWidth="1"/>
    <col min="22" max="22" width="55.33203125" style="2" bestFit="1" customWidth="1"/>
    <col min="23" max="23" width="4.5546875" style="11" bestFit="1" customWidth="1"/>
    <col min="24" max="24" width="12.6640625" style="3" bestFit="1" customWidth="1"/>
    <col min="25" max="34" width="10" style="2" bestFit="1" customWidth="1"/>
    <col min="35" max="35" width="2.6640625" style="2" customWidth="1"/>
    <col min="36" max="36" width="14.44140625" style="2" bestFit="1" customWidth="1"/>
    <col min="37" max="37" width="12.33203125" style="2" customWidth="1"/>
    <col min="38" max="42" width="10" style="2" bestFit="1" customWidth="1"/>
    <col min="43" max="16384" width="9.33203125" style="2"/>
  </cols>
  <sheetData>
    <row r="1" spans="2:42" x14ac:dyDescent="0.25">
      <c r="C1" s="223" t="s">
        <v>317</v>
      </c>
      <c r="D1" s="48"/>
      <c r="E1" s="49">
        <v>2.2499999999999999E-2</v>
      </c>
      <c r="H1" s="223" t="s">
        <v>317</v>
      </c>
      <c r="I1" s="48"/>
      <c r="J1" s="49">
        <v>3.5000000000000003E-2</v>
      </c>
      <c r="M1" s="223" t="s">
        <v>317</v>
      </c>
      <c r="O1" s="49">
        <v>2.75E-2</v>
      </c>
      <c r="R1" s="239" t="s">
        <v>349</v>
      </c>
      <c r="T1" s="240"/>
      <c r="X1" s="95" t="s">
        <v>109</v>
      </c>
      <c r="Y1" s="96"/>
      <c r="Z1" s="96"/>
      <c r="AA1" s="96"/>
      <c r="AB1" s="96"/>
      <c r="AC1" s="97"/>
      <c r="AD1" s="97"/>
      <c r="AE1" s="97"/>
      <c r="AF1" s="97"/>
      <c r="AG1" s="97"/>
      <c r="AH1" s="97"/>
      <c r="AI1" s="31"/>
      <c r="AJ1" s="31"/>
      <c r="AK1" s="95" t="s">
        <v>103</v>
      </c>
      <c r="AL1" s="96"/>
      <c r="AM1" s="96"/>
      <c r="AN1" s="96"/>
      <c r="AO1" s="96"/>
      <c r="AP1" s="97"/>
    </row>
    <row r="2" spans="2:42" ht="12.75" customHeight="1" x14ac:dyDescent="0.25">
      <c r="B2" s="21"/>
      <c r="C2" s="1" t="s">
        <v>29</v>
      </c>
      <c r="D2" s="1" t="s">
        <v>51</v>
      </c>
      <c r="E2" s="1" t="s">
        <v>70</v>
      </c>
      <c r="G2" s="21"/>
      <c r="H2" s="1" t="s">
        <v>29</v>
      </c>
      <c r="I2" s="1" t="s">
        <v>51</v>
      </c>
      <c r="J2" s="1" t="s">
        <v>70</v>
      </c>
      <c r="L2" s="21"/>
      <c r="M2" s="1" t="s">
        <v>29</v>
      </c>
      <c r="N2" s="1" t="s">
        <v>51</v>
      </c>
      <c r="O2" s="1" t="s">
        <v>70</v>
      </c>
      <c r="R2" s="241" t="s">
        <v>29</v>
      </c>
      <c r="S2" s="241" t="s">
        <v>51</v>
      </c>
      <c r="T2" s="241" t="s">
        <v>70</v>
      </c>
      <c r="X2" s="258" t="s">
        <v>312</v>
      </c>
      <c r="Y2" s="267" t="s">
        <v>473</v>
      </c>
      <c r="Z2" s="268"/>
      <c r="AA2" s="268"/>
      <c r="AB2" s="268"/>
      <c r="AC2" s="268"/>
      <c r="AD2" s="268"/>
      <c r="AE2" s="268"/>
      <c r="AF2" s="268"/>
      <c r="AG2" s="268"/>
      <c r="AH2" s="269"/>
      <c r="AI2" s="32"/>
      <c r="AJ2" s="94" t="s">
        <v>104</v>
      </c>
      <c r="AK2" s="88">
        <v>365</v>
      </c>
      <c r="AL2" s="88">
        <v>365</v>
      </c>
      <c r="AM2" s="88">
        <v>366</v>
      </c>
      <c r="AN2" s="88">
        <v>365</v>
      </c>
      <c r="AO2" s="88">
        <v>365</v>
      </c>
      <c r="AP2" s="88">
        <v>365</v>
      </c>
    </row>
    <row r="3" spans="2:42" ht="48" customHeight="1" x14ac:dyDescent="0.4">
      <c r="B3" s="252" t="s">
        <v>350</v>
      </c>
      <c r="C3" s="4">
        <v>44743</v>
      </c>
      <c r="D3" s="4">
        <f>C3</f>
        <v>44743</v>
      </c>
      <c r="E3" s="4">
        <f>D3</f>
        <v>44743</v>
      </c>
      <c r="G3" s="252" t="s">
        <v>351</v>
      </c>
      <c r="H3" s="4">
        <v>45108</v>
      </c>
      <c r="I3" s="4">
        <f>H3</f>
        <v>45108</v>
      </c>
      <c r="J3" s="4">
        <f>I3</f>
        <v>45108</v>
      </c>
      <c r="L3" s="252" t="s">
        <v>352</v>
      </c>
      <c r="M3" s="4">
        <v>45474</v>
      </c>
      <c r="N3" s="4">
        <f>M3</f>
        <v>45474</v>
      </c>
      <c r="O3" s="4">
        <f>N3</f>
        <v>45474</v>
      </c>
      <c r="Q3" s="242"/>
      <c r="R3" s="243">
        <v>45839</v>
      </c>
      <c r="S3" s="243">
        <f>R3</f>
        <v>45839</v>
      </c>
      <c r="T3" s="243">
        <f>S3</f>
        <v>45839</v>
      </c>
      <c r="V3" s="18" t="s">
        <v>30</v>
      </c>
      <c r="W3" s="12" t="s">
        <v>72</v>
      </c>
      <c r="X3" s="222" t="s">
        <v>896</v>
      </c>
      <c r="Y3" s="218" t="s">
        <v>299</v>
      </c>
      <c r="Z3" s="218" t="s">
        <v>300</v>
      </c>
      <c r="AA3" s="218" t="s">
        <v>301</v>
      </c>
      <c r="AB3" s="218" t="s">
        <v>302</v>
      </c>
      <c r="AC3" s="218" t="s">
        <v>303</v>
      </c>
      <c r="AD3" s="218" t="s">
        <v>307</v>
      </c>
      <c r="AE3" s="218" t="s">
        <v>310</v>
      </c>
      <c r="AF3" s="218" t="s">
        <v>348</v>
      </c>
      <c r="AG3" s="218" t="s">
        <v>476</v>
      </c>
      <c r="AH3" s="218" t="s">
        <v>895</v>
      </c>
      <c r="AI3" s="33"/>
      <c r="AJ3" s="34"/>
      <c r="AK3" s="85" t="str">
        <f t="shared" ref="AK3:AP3" si="0">X3</f>
        <v>Current
2025-26
(Next EA)</v>
      </c>
      <c r="AL3" s="85" t="str">
        <f t="shared" si="0"/>
        <v xml:space="preserve">
2026-27
(Next EA)</v>
      </c>
      <c r="AM3" s="85" t="str">
        <f t="shared" si="0"/>
        <v xml:space="preserve">
2027-28
(Next EA)</v>
      </c>
      <c r="AN3" s="85" t="str">
        <f t="shared" si="0"/>
        <v xml:space="preserve">
2028-29
(Next EA)</v>
      </c>
      <c r="AO3" s="85" t="str">
        <f t="shared" si="0"/>
        <v xml:space="preserve">
2029-30
(Next EA)</v>
      </c>
      <c r="AP3" s="85" t="str">
        <f t="shared" si="0"/>
        <v xml:space="preserve">
2030-31
(Next EA)</v>
      </c>
    </row>
    <row r="4" spans="2:42" ht="13.8" x14ac:dyDescent="0.3">
      <c r="B4" s="2" t="s">
        <v>0</v>
      </c>
      <c r="C4" s="225">
        <f>ROUND(D4*52,2)</f>
        <v>60136.44</v>
      </c>
      <c r="D4" s="235">
        <v>1156.47</v>
      </c>
      <c r="E4" s="23">
        <f>D4/38</f>
        <v>30.43342105263158</v>
      </c>
      <c r="F4" s="30"/>
      <c r="G4" s="2" t="s">
        <v>0</v>
      </c>
      <c r="H4" s="225">
        <f>I4*52</f>
        <v>62320.44</v>
      </c>
      <c r="I4" s="235">
        <v>1198.47</v>
      </c>
      <c r="J4" s="23">
        <f>I4/38</f>
        <v>31.538684210526316</v>
      </c>
      <c r="K4" s="29">
        <f t="shared" ref="K4:K33" si="1">(J4-E4)/E4</f>
        <v>3.6317414200108936E-2</v>
      </c>
      <c r="L4" s="253" t="s">
        <v>353</v>
      </c>
      <c r="M4" s="254">
        <f>N4*52</f>
        <v>31088.2</v>
      </c>
      <c r="N4" s="255">
        <v>597.85</v>
      </c>
      <c r="O4" s="256">
        <f>N4/38</f>
        <v>15.732894736842105</v>
      </c>
      <c r="P4" s="29"/>
      <c r="Q4" s="238" t="s">
        <v>0</v>
      </c>
      <c r="R4" s="244">
        <f>S4*52</f>
        <v>0</v>
      </c>
      <c r="S4" s="245"/>
      <c r="T4" s="246">
        <f>S4/38</f>
        <v>0</v>
      </c>
      <c r="U4" s="29"/>
      <c r="V4" s="234" t="s">
        <v>362</v>
      </c>
      <c r="W4" s="69">
        <v>1</v>
      </c>
      <c r="X4" s="224">
        <f>(VLOOKUP(V4,L:M,2,FALSE)*$W$4)*(1+$X$5)</f>
        <v>69452.323199999999</v>
      </c>
      <c r="Y4" s="9">
        <f>+X4*(1+Y$5)</f>
        <v>71535.892896000005</v>
      </c>
      <c r="Z4" s="9">
        <f>+Y4*(1+Z$5)</f>
        <v>73681.969682880008</v>
      </c>
      <c r="AA4" s="9">
        <f>+Z4*(1+AA$5)</f>
        <v>75892.42877336641</v>
      </c>
      <c r="AB4" s="9">
        <f t="shared" ref="AB4:AH4" si="2">+AA4*(1+AB$5)</f>
        <v>78169.201636567406</v>
      </c>
      <c r="AC4" s="9">
        <f t="shared" si="2"/>
        <v>80514.277685664434</v>
      </c>
      <c r="AD4" s="9">
        <f>+AC4*(1+AD$5)</f>
        <v>82929.70601623437</v>
      </c>
      <c r="AE4" s="9">
        <f t="shared" si="2"/>
        <v>85417.597196721399</v>
      </c>
      <c r="AF4" s="9">
        <f t="shared" si="2"/>
        <v>87980.125112623049</v>
      </c>
      <c r="AG4" s="9">
        <f t="shared" si="2"/>
        <v>90619.52886600174</v>
      </c>
      <c r="AH4" s="9">
        <f t="shared" si="2"/>
        <v>93338.114731981797</v>
      </c>
      <c r="AI4" s="33"/>
      <c r="AJ4" s="86" t="s">
        <v>107</v>
      </c>
      <c r="AK4" s="89">
        <v>45839</v>
      </c>
      <c r="AL4" s="89">
        <v>46204</v>
      </c>
      <c r="AM4" s="89">
        <v>46569</v>
      </c>
      <c r="AN4" s="89">
        <v>46935</v>
      </c>
      <c r="AO4" s="89">
        <v>47300</v>
      </c>
      <c r="AP4" s="89">
        <v>47665</v>
      </c>
    </row>
    <row r="5" spans="2:42" ht="27" x14ac:dyDescent="0.3">
      <c r="B5" s="2" t="s">
        <v>1</v>
      </c>
      <c r="C5" s="225">
        <f t="shared" ref="C5:C33" si="3">ROUND(D5*52,2)</f>
        <v>60708.959999999999</v>
      </c>
      <c r="D5" s="235">
        <v>1167.48</v>
      </c>
      <c r="E5" s="23">
        <f t="shared" ref="E5:E33" si="4">D5/38</f>
        <v>30.723157894736843</v>
      </c>
      <c r="F5" s="30"/>
      <c r="G5" s="2" t="s">
        <v>1</v>
      </c>
      <c r="H5" s="225">
        <f t="shared" ref="H5:H65" si="5">I5*52</f>
        <v>62892.959999999999</v>
      </c>
      <c r="I5" s="235">
        <v>1209.48</v>
      </c>
      <c r="J5" s="23">
        <f t="shared" ref="J5:J65" si="6">I5/38</f>
        <v>31.82842105263158</v>
      </c>
      <c r="K5" s="29">
        <f t="shared" si="1"/>
        <v>3.5974920341247794E-2</v>
      </c>
      <c r="L5" s="253" t="s">
        <v>354</v>
      </c>
      <c r="M5" s="254">
        <f t="shared" ref="M5:M68" si="7">N5*52</f>
        <v>41450.76</v>
      </c>
      <c r="N5" s="255">
        <v>797.13</v>
      </c>
      <c r="O5" s="256">
        <f t="shared" ref="O5:O68" si="8">N5/38</f>
        <v>20.977105263157895</v>
      </c>
      <c r="P5" s="29"/>
      <c r="Q5" s="238" t="s">
        <v>1</v>
      </c>
      <c r="R5" s="244">
        <f t="shared" ref="R5:R68" si="9">S5*52</f>
        <v>0</v>
      </c>
      <c r="S5" s="245"/>
      <c r="T5" s="246">
        <f t="shared" ref="T5:T68" si="10">S5/38</f>
        <v>0</v>
      </c>
      <c r="U5" s="29"/>
      <c r="V5" s="219" t="s">
        <v>309</v>
      </c>
      <c r="W5" s="13"/>
      <c r="X5" s="220">
        <f>Rates!B5</f>
        <v>0.03</v>
      </c>
      <c r="Y5" s="220">
        <f>Rates!C5</f>
        <v>3.0000000000000002E-2</v>
      </c>
      <c r="Z5" s="220">
        <f>Rates!D5</f>
        <v>3.0000000000000002E-2</v>
      </c>
      <c r="AA5" s="220">
        <f>Rates!E5</f>
        <v>3.0000000000000002E-2</v>
      </c>
      <c r="AB5" s="220">
        <f>Rates!F5</f>
        <v>3.0000000000000002E-2</v>
      </c>
      <c r="AC5" s="220">
        <f>Rates!G5</f>
        <v>3.0000000000000002E-2</v>
      </c>
      <c r="AD5" s="220">
        <f>Rates!H5</f>
        <v>3.0000000000000002E-2</v>
      </c>
      <c r="AE5" s="220">
        <f>Rates!I5</f>
        <v>3.0000000000000002E-2</v>
      </c>
      <c r="AF5" s="220">
        <f>Rates!J5</f>
        <v>3.0000000000000002E-2</v>
      </c>
      <c r="AG5" s="220">
        <f>Rates!K5</f>
        <v>3.0000000000000002E-2</v>
      </c>
      <c r="AH5" s="220">
        <f>Rates!L5</f>
        <v>3.0000000000000002E-2</v>
      </c>
      <c r="AI5" s="31"/>
      <c r="AJ5" s="87" t="s">
        <v>108</v>
      </c>
      <c r="AK5" s="89">
        <v>46203</v>
      </c>
      <c r="AL5" s="89">
        <v>46568</v>
      </c>
      <c r="AM5" s="89">
        <v>46934</v>
      </c>
      <c r="AN5" s="89">
        <v>47299</v>
      </c>
      <c r="AO5" s="89">
        <v>47664</v>
      </c>
      <c r="AP5" s="89">
        <v>48029</v>
      </c>
    </row>
    <row r="6" spans="2:42" ht="13.8" x14ac:dyDescent="0.3">
      <c r="B6" s="2" t="s">
        <v>2</v>
      </c>
      <c r="C6" s="225">
        <f t="shared" si="3"/>
        <v>61274.720000000001</v>
      </c>
      <c r="D6" s="235">
        <v>1178.3599999999999</v>
      </c>
      <c r="E6" s="23">
        <f t="shared" si="4"/>
        <v>31.009473684210523</v>
      </c>
      <c r="F6" s="30"/>
      <c r="G6" s="2" t="s">
        <v>2</v>
      </c>
      <c r="H6" s="225">
        <f t="shared" si="5"/>
        <v>63458.719999999994</v>
      </c>
      <c r="I6" s="235">
        <v>1220.3599999999999</v>
      </c>
      <c r="J6" s="23">
        <f t="shared" si="6"/>
        <v>32.114736842105259</v>
      </c>
      <c r="K6" s="29">
        <f t="shared" si="1"/>
        <v>3.5642757731083864E-2</v>
      </c>
      <c r="L6" s="253" t="s">
        <v>355</v>
      </c>
      <c r="M6" s="254">
        <f t="shared" si="7"/>
        <v>51813.32</v>
      </c>
      <c r="N6" s="255">
        <v>996.41</v>
      </c>
      <c r="O6" s="256">
        <f t="shared" si="8"/>
        <v>26.221315789473682</v>
      </c>
      <c r="P6" s="29"/>
      <c r="Q6" s="238" t="s">
        <v>2</v>
      </c>
      <c r="R6" s="244">
        <f t="shared" si="9"/>
        <v>0</v>
      </c>
      <c r="S6" s="245"/>
      <c r="T6" s="246">
        <f t="shared" si="10"/>
        <v>0</v>
      </c>
      <c r="U6" s="29"/>
      <c r="V6" s="39" t="s">
        <v>81</v>
      </c>
      <c r="Y6" s="38">
        <f>(Y4-X4)/X4</f>
        <v>3.0000000000000086E-2</v>
      </c>
      <c r="Z6" s="38">
        <f>(Z4-Y4)/Y4</f>
        <v>3.0000000000000041E-2</v>
      </c>
      <c r="AA6" s="38">
        <f>(AA4-Z4)/Z4</f>
        <v>3.000000000000002E-2</v>
      </c>
      <c r="AB6" s="38">
        <f>(AB4-AA4)/AA4</f>
        <v>3.0000000000000058E-2</v>
      </c>
      <c r="AC6" s="38">
        <f t="shared" ref="AC6:AH6" si="11">(AC4-AB4)/AB4</f>
        <v>3.0000000000000072E-2</v>
      </c>
      <c r="AD6" s="38">
        <f>(AD4-AC4)/AC4</f>
        <v>3.000000000000003E-2</v>
      </c>
      <c r="AE6" s="38">
        <f t="shared" si="11"/>
        <v>2.9999999999999982E-2</v>
      </c>
      <c r="AF6" s="38">
        <f t="shared" si="11"/>
        <v>3.0000000000000093E-2</v>
      </c>
      <c r="AG6" s="38">
        <f t="shared" si="11"/>
        <v>2.9999999999999988E-2</v>
      </c>
      <c r="AH6" s="38">
        <f t="shared" si="11"/>
        <v>3.0000000000000061E-2</v>
      </c>
      <c r="AI6" s="31"/>
      <c r="AJ6" s="31"/>
      <c r="AK6" s="90">
        <f>(AK5-AK4+1)/AK2</f>
        <v>1</v>
      </c>
      <c r="AL6" s="90">
        <f t="shared" ref="AL6:AP6" si="12">(AL5-AL4+1)/AL2</f>
        <v>1</v>
      </c>
      <c r="AM6" s="90">
        <f t="shared" si="12"/>
        <v>1</v>
      </c>
      <c r="AN6" s="90">
        <f t="shared" si="12"/>
        <v>1</v>
      </c>
      <c r="AO6" s="90">
        <f t="shared" si="12"/>
        <v>1</v>
      </c>
      <c r="AP6" s="90">
        <f t="shared" si="12"/>
        <v>1</v>
      </c>
    </row>
    <row r="7" spans="2:42" ht="13.8" x14ac:dyDescent="0.3">
      <c r="B7" s="2" t="s">
        <v>3</v>
      </c>
      <c r="C7" s="225">
        <f t="shared" si="3"/>
        <v>61841.52</v>
      </c>
      <c r="D7" s="235">
        <v>1189.26</v>
      </c>
      <c r="E7" s="23">
        <f t="shared" si="4"/>
        <v>31.296315789473685</v>
      </c>
      <c r="F7" s="30"/>
      <c r="G7" s="2" t="s">
        <v>3</v>
      </c>
      <c r="H7" s="225">
        <f t="shared" si="5"/>
        <v>64025.52</v>
      </c>
      <c r="I7" s="235">
        <v>1231.26</v>
      </c>
      <c r="J7" s="23">
        <f t="shared" si="6"/>
        <v>32.401578947368421</v>
      </c>
      <c r="K7" s="29">
        <f t="shared" si="1"/>
        <v>3.5316078906210566E-2</v>
      </c>
      <c r="L7" s="253" t="s">
        <v>356</v>
      </c>
      <c r="M7" s="254">
        <f t="shared" si="7"/>
        <v>62176.4</v>
      </c>
      <c r="N7" s="255">
        <v>1195.7</v>
      </c>
      <c r="O7" s="256">
        <f t="shared" si="8"/>
        <v>31.465789473684211</v>
      </c>
      <c r="P7" s="29"/>
      <c r="Q7" s="238" t="s">
        <v>3</v>
      </c>
      <c r="R7" s="244">
        <f t="shared" si="9"/>
        <v>0</v>
      </c>
      <c r="S7" s="245"/>
      <c r="T7" s="246">
        <f t="shared" si="10"/>
        <v>0</v>
      </c>
      <c r="U7" s="29"/>
      <c r="V7" s="7" t="s">
        <v>31</v>
      </c>
      <c r="W7" s="37"/>
      <c r="X7" s="6">
        <f>ROUND((X4/52)*48,0)</f>
        <v>64110</v>
      </c>
      <c r="Y7" s="6">
        <f>ROUND(((Y4/52)*48),0)</f>
        <v>66033</v>
      </c>
      <c r="Z7" s="6">
        <f>ROUND(((Z4/52)*48),0)</f>
        <v>68014</v>
      </c>
      <c r="AA7" s="6">
        <f t="shared" ref="AA7:AG7" si="13">ROUND(((AA4/52)*48),0)</f>
        <v>70055</v>
      </c>
      <c r="AB7" s="6">
        <f t="shared" si="13"/>
        <v>72156</v>
      </c>
      <c r="AC7" s="6">
        <f t="shared" si="13"/>
        <v>74321</v>
      </c>
      <c r="AD7" s="6">
        <f>ROUND(((AD4/52)*48),0)</f>
        <v>76550</v>
      </c>
      <c r="AE7" s="6">
        <f>ROUND(((AE4/52)*48),0)</f>
        <v>78847</v>
      </c>
      <c r="AF7" s="6">
        <f t="shared" si="13"/>
        <v>81212</v>
      </c>
      <c r="AG7" s="6">
        <f t="shared" si="13"/>
        <v>83649</v>
      </c>
      <c r="AH7" s="6">
        <f>ROUND(((AH4/52)*48),0)</f>
        <v>86158</v>
      </c>
      <c r="AK7" s="91">
        <f t="shared" ref="AK7:AP7" si="14">AK$6*X7</f>
        <v>64110</v>
      </c>
      <c r="AL7" s="91">
        <f t="shared" si="14"/>
        <v>66033</v>
      </c>
      <c r="AM7" s="91">
        <f t="shared" si="14"/>
        <v>68014</v>
      </c>
      <c r="AN7" s="91">
        <f t="shared" si="14"/>
        <v>70055</v>
      </c>
      <c r="AO7" s="91">
        <f t="shared" si="14"/>
        <v>72156</v>
      </c>
      <c r="AP7" s="91">
        <f t="shared" si="14"/>
        <v>74321</v>
      </c>
    </row>
    <row r="8" spans="2:42" ht="13.8" x14ac:dyDescent="0.3">
      <c r="B8" s="2" t="s">
        <v>4</v>
      </c>
      <c r="C8" s="225">
        <f t="shared" si="3"/>
        <v>62681.84</v>
      </c>
      <c r="D8" s="235">
        <v>1205.42</v>
      </c>
      <c r="E8" s="23">
        <f t="shared" si="4"/>
        <v>31.721578947368425</v>
      </c>
      <c r="F8" s="30"/>
      <c r="G8" s="2" t="s">
        <v>4</v>
      </c>
      <c r="H8" s="225">
        <f t="shared" si="5"/>
        <v>64875.719999999994</v>
      </c>
      <c r="I8" s="235">
        <v>1247.6099999999999</v>
      </c>
      <c r="J8" s="23">
        <f t="shared" si="6"/>
        <v>32.831842105263156</v>
      </c>
      <c r="K8" s="29">
        <f t="shared" si="1"/>
        <v>3.5000248875910307E-2</v>
      </c>
      <c r="L8" s="253" t="s">
        <v>357</v>
      </c>
      <c r="M8" s="254">
        <f t="shared" si="7"/>
        <v>64034.36</v>
      </c>
      <c r="N8" s="255">
        <v>1231.43</v>
      </c>
      <c r="O8" s="256">
        <f t="shared" si="8"/>
        <v>32.406052631578952</v>
      </c>
      <c r="P8" s="29"/>
      <c r="Q8" s="238" t="s">
        <v>4</v>
      </c>
      <c r="R8" s="244">
        <f t="shared" si="9"/>
        <v>0</v>
      </c>
      <c r="S8" s="245"/>
      <c r="T8" s="246">
        <f t="shared" si="10"/>
        <v>0</v>
      </c>
      <c r="U8" s="29"/>
      <c r="V8" s="7" t="s">
        <v>37</v>
      </c>
      <c r="W8" s="37"/>
      <c r="X8" s="6">
        <f>ROUND(X44,0)</f>
        <v>0</v>
      </c>
      <c r="Y8" s="6">
        <f>ROUND(Y44,0)</f>
        <v>0</v>
      </c>
      <c r="Z8" s="6">
        <f t="shared" ref="Z8:AG8" si="15">ROUND(Z44,0)</f>
        <v>0</v>
      </c>
      <c r="AA8" s="6">
        <f t="shared" si="15"/>
        <v>0</v>
      </c>
      <c r="AB8" s="6">
        <f t="shared" si="15"/>
        <v>0</v>
      </c>
      <c r="AC8" s="6">
        <f t="shared" si="15"/>
        <v>0</v>
      </c>
      <c r="AD8" s="6">
        <f>ROUND(AD44,0)</f>
        <v>0</v>
      </c>
      <c r="AE8" s="6">
        <f>ROUND(AE44,0)</f>
        <v>0</v>
      </c>
      <c r="AF8" s="6">
        <f t="shared" si="15"/>
        <v>0</v>
      </c>
      <c r="AG8" s="6">
        <f t="shared" si="15"/>
        <v>0</v>
      </c>
      <c r="AH8" s="6">
        <f>ROUND(AH44,0)</f>
        <v>0</v>
      </c>
      <c r="AK8" s="91">
        <f t="shared" ref="AK8:AK13" si="16">AK$6*X8</f>
        <v>0</v>
      </c>
      <c r="AL8" s="91">
        <f t="shared" ref="AL8:AO13" si="17">AL$6*Y8</f>
        <v>0</v>
      </c>
      <c r="AM8" s="91">
        <f t="shared" si="17"/>
        <v>0</v>
      </c>
      <c r="AN8" s="91">
        <f t="shared" si="17"/>
        <v>0</v>
      </c>
      <c r="AO8" s="91">
        <f t="shared" si="17"/>
        <v>0</v>
      </c>
      <c r="AP8" s="91">
        <f t="shared" ref="AP8:AP13" si="18">AP$6*AC8</f>
        <v>0</v>
      </c>
    </row>
    <row r="9" spans="2:42" ht="13.8" x14ac:dyDescent="0.3">
      <c r="B9" s="2" t="s">
        <v>5</v>
      </c>
      <c r="C9" s="225">
        <f t="shared" si="3"/>
        <v>63405.16</v>
      </c>
      <c r="D9" s="235">
        <v>1219.33</v>
      </c>
      <c r="E9" s="23">
        <f t="shared" si="4"/>
        <v>32.087631578947367</v>
      </c>
      <c r="F9" s="30"/>
      <c r="G9" s="2" t="s">
        <v>5</v>
      </c>
      <c r="H9" s="225">
        <f t="shared" si="5"/>
        <v>65624.52</v>
      </c>
      <c r="I9" s="235">
        <v>1262.01</v>
      </c>
      <c r="J9" s="23">
        <f t="shared" si="6"/>
        <v>33.210789473684208</v>
      </c>
      <c r="K9" s="29">
        <f t="shared" si="1"/>
        <v>3.500282942271575E-2</v>
      </c>
      <c r="L9" s="253" t="s">
        <v>358</v>
      </c>
      <c r="M9" s="254">
        <f t="shared" si="7"/>
        <v>64622.48</v>
      </c>
      <c r="N9" s="255">
        <v>1242.74</v>
      </c>
      <c r="O9" s="256">
        <f t="shared" si="8"/>
        <v>32.703684210526319</v>
      </c>
      <c r="P9" s="29"/>
      <c r="Q9" s="238" t="s">
        <v>5</v>
      </c>
      <c r="R9" s="244">
        <f t="shared" si="9"/>
        <v>0</v>
      </c>
      <c r="S9" s="245"/>
      <c r="T9" s="246">
        <f t="shared" si="10"/>
        <v>0</v>
      </c>
      <c r="U9" s="29"/>
      <c r="V9" s="7" t="s">
        <v>92</v>
      </c>
      <c r="W9" s="37"/>
      <c r="X9" s="6">
        <f t="shared" ref="X9:AH9" si="19">ROUND((X47+X49),0)</f>
        <v>6277</v>
      </c>
      <c r="Y9" s="6">
        <f t="shared" si="19"/>
        <v>6466</v>
      </c>
      <c r="Z9" s="6">
        <f t="shared" si="19"/>
        <v>6660</v>
      </c>
      <c r="AA9" s="6">
        <f t="shared" si="19"/>
        <v>6859</v>
      </c>
      <c r="AB9" s="6">
        <f t="shared" si="19"/>
        <v>7066</v>
      </c>
      <c r="AC9" s="6">
        <f t="shared" si="19"/>
        <v>7277</v>
      </c>
      <c r="AD9" s="6">
        <f>ROUND((AD47+AD49),0)</f>
        <v>7496</v>
      </c>
      <c r="AE9" s="6">
        <f>ROUND((AE47+AE49),0)</f>
        <v>7720</v>
      </c>
      <c r="AF9" s="6">
        <f t="shared" si="19"/>
        <v>7953</v>
      </c>
      <c r="AG9" s="6">
        <f t="shared" si="19"/>
        <v>8190</v>
      </c>
      <c r="AH9" s="6">
        <f t="shared" si="19"/>
        <v>8437</v>
      </c>
      <c r="AK9" s="91">
        <f t="shared" si="16"/>
        <v>6277</v>
      </c>
      <c r="AL9" s="91">
        <f t="shared" si="17"/>
        <v>6466</v>
      </c>
      <c r="AM9" s="91">
        <f t="shared" si="17"/>
        <v>6660</v>
      </c>
      <c r="AN9" s="91">
        <f t="shared" si="17"/>
        <v>6859</v>
      </c>
      <c r="AO9" s="91">
        <f t="shared" si="17"/>
        <v>7066</v>
      </c>
      <c r="AP9" s="91">
        <f t="shared" si="18"/>
        <v>7277</v>
      </c>
    </row>
    <row r="10" spans="2:42" ht="13.8" x14ac:dyDescent="0.3">
      <c r="B10" s="2" t="s">
        <v>6</v>
      </c>
      <c r="C10" s="225">
        <f t="shared" si="3"/>
        <v>64209.599999999999</v>
      </c>
      <c r="D10" s="235">
        <v>1234.8</v>
      </c>
      <c r="E10" s="23">
        <f t="shared" si="4"/>
        <v>32.494736842105262</v>
      </c>
      <c r="F10" s="30"/>
      <c r="G10" s="2" t="s">
        <v>6</v>
      </c>
      <c r="H10" s="225">
        <f t="shared" si="5"/>
        <v>66457.039999999994</v>
      </c>
      <c r="I10" s="235">
        <v>1278.02</v>
      </c>
      <c r="J10" s="23">
        <f t="shared" si="6"/>
        <v>33.632105263157897</v>
      </c>
      <c r="K10" s="29">
        <f t="shared" si="1"/>
        <v>3.5001619695497352E-2</v>
      </c>
      <c r="L10" s="253" t="s">
        <v>359</v>
      </c>
      <c r="M10" s="254">
        <f t="shared" si="7"/>
        <v>65203.840000000004</v>
      </c>
      <c r="N10" s="255">
        <v>1253.92</v>
      </c>
      <c r="O10" s="256">
        <f t="shared" si="8"/>
        <v>32.997894736842106</v>
      </c>
      <c r="P10" s="29"/>
      <c r="Q10" s="238" t="s">
        <v>6</v>
      </c>
      <c r="R10" s="244">
        <f t="shared" si="9"/>
        <v>0</v>
      </c>
      <c r="S10" s="245"/>
      <c r="T10" s="246">
        <f t="shared" si="10"/>
        <v>0</v>
      </c>
      <c r="U10" s="29"/>
      <c r="V10" s="7" t="s">
        <v>33</v>
      </c>
      <c r="W10" s="37"/>
      <c r="X10" s="6">
        <f>ROUND(((X7+X8+X9+X11+X12+X19+X20)*Rates!B9),0)</f>
        <v>2256</v>
      </c>
      <c r="Y10" s="6">
        <f>ROUND(((Y7+Y8+Y9+Y11+Y12+Y19+Y20)*Rates!C9),0)</f>
        <v>2324</v>
      </c>
      <c r="Z10" s="6">
        <f>ROUND(((Z7+Z8+Z9+Z11+Z12+Z19+Z20)*Rates!D9),0)</f>
        <v>2393</v>
      </c>
      <c r="AA10" s="6">
        <f>ROUND(((AA7+AA8+AA9+AA11+AA12+AA19+AA20)*Rates!E9),0)</f>
        <v>2465</v>
      </c>
      <c r="AB10" s="6">
        <f>ROUND(((AB7+AB8+AB9+AB11+AB12+AB19+AB20)*Rates!F9),0)</f>
        <v>2539</v>
      </c>
      <c r="AC10" s="6">
        <f>ROUND(((AC7+AC8+AC9+AC11+AC12+AC19+AC20)*Rates!G9),0)</f>
        <v>2615</v>
      </c>
      <c r="AD10" s="6">
        <f>ROUND(((AD7+AD8+AD9+AD11+AD12+AD19+AD20)*Rates!H9),0)</f>
        <v>2694</v>
      </c>
      <c r="AE10" s="6">
        <f>ROUND(((AE7+AE8+AE9+AE11+AE12+AE19+AE20)*Rates!I9),0)</f>
        <v>2775</v>
      </c>
      <c r="AF10" s="6">
        <f>ROUND(((AF7+AF8+AF9+AF11+AF12+AF19+AF20)*Rates!J9),0)</f>
        <v>2858</v>
      </c>
      <c r="AG10" s="6">
        <f>ROUND(((AG7+AG8+AG9+AG11+AG12+AG19+AG20)*Rates!K9),0)</f>
        <v>2944</v>
      </c>
      <c r="AH10" s="6">
        <f>ROUND(((AH7+AH8+AH9+AH11+AH12+AH19+AH20)*Rates!L9),0)</f>
        <v>3032</v>
      </c>
      <c r="AK10" s="91">
        <f t="shared" si="16"/>
        <v>2256</v>
      </c>
      <c r="AL10" s="91">
        <f t="shared" si="17"/>
        <v>2324</v>
      </c>
      <c r="AM10" s="91">
        <f t="shared" si="17"/>
        <v>2393</v>
      </c>
      <c r="AN10" s="91">
        <f t="shared" si="17"/>
        <v>2465</v>
      </c>
      <c r="AO10" s="91">
        <f t="shared" si="17"/>
        <v>2539</v>
      </c>
      <c r="AP10" s="91">
        <f t="shared" si="18"/>
        <v>2615</v>
      </c>
    </row>
    <row r="11" spans="2:42" ht="13.8" x14ac:dyDescent="0.3">
      <c r="B11" s="2" t="s">
        <v>7</v>
      </c>
      <c r="C11" s="225">
        <f t="shared" si="3"/>
        <v>64962.04</v>
      </c>
      <c r="D11" s="235">
        <v>1249.27</v>
      </c>
      <c r="E11" s="23">
        <f t="shared" si="4"/>
        <v>32.875526315789472</v>
      </c>
      <c r="F11" s="30"/>
      <c r="G11" s="2" t="s">
        <v>7</v>
      </c>
      <c r="H11" s="225">
        <f t="shared" si="5"/>
        <v>67235.48</v>
      </c>
      <c r="I11" s="235">
        <v>1292.99</v>
      </c>
      <c r="J11" s="23">
        <f t="shared" si="6"/>
        <v>34.026052631578949</v>
      </c>
      <c r="K11" s="29">
        <f t="shared" si="1"/>
        <v>3.4996437919745244E-2</v>
      </c>
      <c r="L11" s="253" t="s">
        <v>360</v>
      </c>
      <c r="M11" s="254">
        <f t="shared" si="7"/>
        <v>65786.239999999991</v>
      </c>
      <c r="N11" s="255">
        <v>1265.1199999999999</v>
      </c>
      <c r="O11" s="256">
        <f t="shared" si="8"/>
        <v>33.292631578947365</v>
      </c>
      <c r="P11" s="29"/>
      <c r="Q11" s="238" t="s">
        <v>7</v>
      </c>
      <c r="R11" s="244">
        <f t="shared" si="9"/>
        <v>0</v>
      </c>
      <c r="S11" s="245"/>
      <c r="T11" s="246">
        <f t="shared" si="10"/>
        <v>0</v>
      </c>
      <c r="U11" s="29"/>
      <c r="V11" s="7" t="s">
        <v>34</v>
      </c>
      <c r="W11" s="37"/>
      <c r="X11" s="6">
        <f>ROUND(((X7+X9+X19+X20)*Rates!B10),0)</f>
        <v>8446</v>
      </c>
      <c r="Y11" s="6">
        <f>ROUND(((Y7+Y9+Y19+Y20)*Rates!C10),0)</f>
        <v>8700</v>
      </c>
      <c r="Z11" s="6">
        <f>ROUND(((Z7+Z9+Z19+Z20)*Rates!D10),0)</f>
        <v>8961</v>
      </c>
      <c r="AA11" s="6">
        <f>ROUND(((AA7+AA9+AA19+AA20)*Rates!E10),0)</f>
        <v>9230</v>
      </c>
      <c r="AB11" s="6">
        <f>ROUND(((AB7+AB9+AB19+AB20)*Rates!F10),0)</f>
        <v>9507</v>
      </c>
      <c r="AC11" s="6">
        <f>ROUND(((AC7+AC9+AC19+AC20)*Rates!G10),0)</f>
        <v>9792</v>
      </c>
      <c r="AD11" s="6">
        <f>ROUND(((AD7+AD9+AD19+AD20)*Rates!H10),0)</f>
        <v>10086</v>
      </c>
      <c r="AE11" s="6">
        <f>ROUND(((AE7+AE9+AE19+AE20)*Rates!I10),0)</f>
        <v>10388</v>
      </c>
      <c r="AF11" s="6">
        <f>ROUND(((AF7+AF9+AF19+AF20)*Rates!J10),0)</f>
        <v>10700</v>
      </c>
      <c r="AG11" s="6">
        <f>ROUND(((AG7+AG9+AG19+AG20)*Rates!K10),0)</f>
        <v>11021</v>
      </c>
      <c r="AH11" s="6">
        <f>ROUND(((AH7+AH9+AH19+AH20)*Rates!L10),0)</f>
        <v>11351</v>
      </c>
      <c r="AK11" s="91">
        <f t="shared" si="16"/>
        <v>8446</v>
      </c>
      <c r="AL11" s="91">
        <f t="shared" si="17"/>
        <v>8700</v>
      </c>
      <c r="AM11" s="91">
        <f t="shared" si="17"/>
        <v>8961</v>
      </c>
      <c r="AN11" s="91">
        <f t="shared" si="17"/>
        <v>9230</v>
      </c>
      <c r="AO11" s="91">
        <f t="shared" si="17"/>
        <v>9507</v>
      </c>
      <c r="AP11" s="91">
        <f t="shared" si="18"/>
        <v>9792</v>
      </c>
    </row>
    <row r="12" spans="2:42" ht="13.8" x14ac:dyDescent="0.3">
      <c r="B12" s="2" t="s">
        <v>8</v>
      </c>
      <c r="C12" s="225">
        <f t="shared" si="3"/>
        <v>66369.16</v>
      </c>
      <c r="D12" s="235">
        <v>1276.33</v>
      </c>
      <c r="E12" s="23">
        <f t="shared" si="4"/>
        <v>33.587631578947367</v>
      </c>
      <c r="F12" s="30"/>
      <c r="G12" s="2" t="s">
        <v>8</v>
      </c>
      <c r="H12" s="225">
        <f t="shared" si="5"/>
        <v>68692</v>
      </c>
      <c r="I12" s="235">
        <v>1321</v>
      </c>
      <c r="J12" s="23">
        <f t="shared" si="6"/>
        <v>34.763157894736842</v>
      </c>
      <c r="K12" s="29">
        <f t="shared" si="1"/>
        <v>3.4998785580531752E-2</v>
      </c>
      <c r="L12" s="253" t="s">
        <v>361</v>
      </c>
      <c r="M12" s="254">
        <f t="shared" si="7"/>
        <v>66659.839999999997</v>
      </c>
      <c r="N12" s="255">
        <v>1281.92</v>
      </c>
      <c r="O12" s="256">
        <f t="shared" si="8"/>
        <v>33.734736842105264</v>
      </c>
      <c r="P12" s="29"/>
      <c r="Q12" s="238" t="s">
        <v>8</v>
      </c>
      <c r="R12" s="244">
        <f t="shared" si="9"/>
        <v>0</v>
      </c>
      <c r="S12" s="245"/>
      <c r="T12" s="246">
        <f t="shared" si="10"/>
        <v>0</v>
      </c>
      <c r="U12" s="29"/>
      <c r="V12" s="7" t="s">
        <v>35</v>
      </c>
      <c r="W12" s="37"/>
      <c r="X12" s="6">
        <f>ROUND(((X4)*Rates!B11),0)</f>
        <v>1736</v>
      </c>
      <c r="Y12" s="6">
        <f>ROUND(((+Y4)*Rates!C11),0)</f>
        <v>1788</v>
      </c>
      <c r="Z12" s="6">
        <f>ROUND(((+Z4)*Rates!D11),0)</f>
        <v>1842</v>
      </c>
      <c r="AA12" s="6">
        <f>ROUND(((+AA4)*Rates!E11),0)</f>
        <v>1897</v>
      </c>
      <c r="AB12" s="6">
        <f>ROUND(((+AB4)*Rates!F11),0)</f>
        <v>1954</v>
      </c>
      <c r="AC12" s="6">
        <f>ROUND(((+AC4)*Rates!G11),0)</f>
        <v>2013</v>
      </c>
      <c r="AD12" s="6">
        <f>ROUND(((+AD4)*Rates!H11),0)</f>
        <v>2073</v>
      </c>
      <c r="AE12" s="6">
        <f>ROUND(((+AE4)*Rates!I11),0)</f>
        <v>2135</v>
      </c>
      <c r="AF12" s="6">
        <f>ROUND(((+AF4)*Rates!J11),0)</f>
        <v>2200</v>
      </c>
      <c r="AG12" s="6">
        <f>ROUND(((+AG4)*Rates!K11),0)</f>
        <v>2265</v>
      </c>
      <c r="AH12" s="6">
        <f>ROUND(((+AH4)*Rates!B11),0)</f>
        <v>2333</v>
      </c>
      <c r="AK12" s="91">
        <f t="shared" si="16"/>
        <v>1736</v>
      </c>
      <c r="AL12" s="91">
        <f t="shared" si="17"/>
        <v>1788</v>
      </c>
      <c r="AM12" s="91">
        <f t="shared" si="17"/>
        <v>1842</v>
      </c>
      <c r="AN12" s="91">
        <f t="shared" si="17"/>
        <v>1897</v>
      </c>
      <c r="AO12" s="91">
        <f t="shared" si="17"/>
        <v>1954</v>
      </c>
      <c r="AP12" s="91">
        <f t="shared" si="18"/>
        <v>2013</v>
      </c>
    </row>
    <row r="13" spans="2:42" ht="13.8" x14ac:dyDescent="0.3">
      <c r="B13" s="2" t="s">
        <v>9</v>
      </c>
      <c r="C13" s="225">
        <f t="shared" si="3"/>
        <v>67869.88</v>
      </c>
      <c r="D13" s="235">
        <v>1305.19</v>
      </c>
      <c r="E13" s="23">
        <f t="shared" si="4"/>
        <v>34.347105263157893</v>
      </c>
      <c r="F13" s="30"/>
      <c r="G13" s="2" t="s">
        <v>9</v>
      </c>
      <c r="H13" s="225">
        <f t="shared" si="5"/>
        <v>70245.239999999991</v>
      </c>
      <c r="I13" s="235">
        <v>1350.87</v>
      </c>
      <c r="J13" s="23">
        <f t="shared" si="6"/>
        <v>35.54921052631579</v>
      </c>
      <c r="K13" s="29">
        <f t="shared" si="1"/>
        <v>3.4998735816241376E-2</v>
      </c>
      <c r="L13" s="253" t="s">
        <v>362</v>
      </c>
      <c r="M13" s="254">
        <f t="shared" si="7"/>
        <v>67429.440000000002</v>
      </c>
      <c r="N13" s="255">
        <v>1296.72</v>
      </c>
      <c r="O13" s="256">
        <f t="shared" si="8"/>
        <v>34.124210526315792</v>
      </c>
      <c r="P13" s="29"/>
      <c r="Q13" s="238" t="s">
        <v>9</v>
      </c>
      <c r="R13" s="244">
        <f t="shared" si="9"/>
        <v>0</v>
      </c>
      <c r="S13" s="245"/>
      <c r="T13" s="246">
        <f t="shared" si="10"/>
        <v>0</v>
      </c>
      <c r="U13" s="29"/>
      <c r="V13" s="7" t="s">
        <v>77</v>
      </c>
      <c r="W13" s="37"/>
      <c r="X13" s="6">
        <f>ROUND((X$21*$W$4),0)</f>
        <v>0</v>
      </c>
      <c r="Y13" s="6">
        <f t="shared" ref="Y13:AH13" si="20">ROUND((Y$21*$W$4),0)</f>
        <v>0</v>
      </c>
      <c r="Z13" s="6">
        <f t="shared" si="20"/>
        <v>0</v>
      </c>
      <c r="AA13" s="6">
        <f t="shared" si="20"/>
        <v>0</v>
      </c>
      <c r="AB13" s="6">
        <f t="shared" si="20"/>
        <v>0</v>
      </c>
      <c r="AC13" s="6">
        <f t="shared" si="20"/>
        <v>0</v>
      </c>
      <c r="AD13" s="6">
        <f t="shared" si="20"/>
        <v>0</v>
      </c>
      <c r="AE13" s="6">
        <f t="shared" si="20"/>
        <v>0</v>
      </c>
      <c r="AF13" s="6">
        <f t="shared" si="20"/>
        <v>0</v>
      </c>
      <c r="AG13" s="6">
        <f t="shared" si="20"/>
        <v>0</v>
      </c>
      <c r="AH13" s="6">
        <f t="shared" si="20"/>
        <v>0</v>
      </c>
      <c r="AK13" s="91">
        <f t="shared" si="16"/>
        <v>0</v>
      </c>
      <c r="AL13" s="91">
        <f t="shared" si="17"/>
        <v>0</v>
      </c>
      <c r="AM13" s="91">
        <f t="shared" si="17"/>
        <v>0</v>
      </c>
      <c r="AN13" s="91">
        <f t="shared" si="17"/>
        <v>0</v>
      </c>
      <c r="AO13" s="91">
        <f t="shared" si="17"/>
        <v>0</v>
      </c>
      <c r="AP13" s="91">
        <f t="shared" si="18"/>
        <v>0</v>
      </c>
    </row>
    <row r="14" spans="2:42" ht="13.8" x14ac:dyDescent="0.3">
      <c r="B14" s="2" t="s">
        <v>10</v>
      </c>
      <c r="C14" s="225">
        <f t="shared" si="3"/>
        <v>68975.399999999994</v>
      </c>
      <c r="D14" s="235">
        <v>1326.45</v>
      </c>
      <c r="E14" s="23">
        <f t="shared" si="4"/>
        <v>34.906578947368423</v>
      </c>
      <c r="F14" s="30"/>
      <c r="G14" s="2" t="s">
        <v>10</v>
      </c>
      <c r="H14" s="225">
        <f t="shared" si="5"/>
        <v>71389.760000000009</v>
      </c>
      <c r="I14" s="235">
        <v>1372.88</v>
      </c>
      <c r="J14" s="23">
        <f t="shared" si="6"/>
        <v>36.12842105263158</v>
      </c>
      <c r="K14" s="29">
        <f t="shared" si="1"/>
        <v>3.5003204040860915E-2</v>
      </c>
      <c r="L14" s="253" t="s">
        <v>363</v>
      </c>
      <c r="M14" s="254">
        <f t="shared" si="7"/>
        <v>68284.320000000007</v>
      </c>
      <c r="N14" s="255">
        <v>1313.16</v>
      </c>
      <c r="O14" s="256">
        <f t="shared" si="8"/>
        <v>34.556842105263158</v>
      </c>
      <c r="P14" s="29"/>
      <c r="Q14" s="238" t="s">
        <v>10</v>
      </c>
      <c r="R14" s="244">
        <f t="shared" si="9"/>
        <v>0</v>
      </c>
      <c r="S14" s="245"/>
      <c r="T14" s="246">
        <f t="shared" si="10"/>
        <v>0</v>
      </c>
      <c r="U14" s="29"/>
      <c r="V14" s="52" t="str">
        <f>CONCATENATE("Total"&amp;" "&amp;V4&amp;" "&amp;"incl oncosts")</f>
        <v>Total B2B - Band 2 Level B incl oncosts</v>
      </c>
      <c r="W14" s="53"/>
      <c r="X14" s="54">
        <f t="shared" ref="X14:AH14" si="21">SUM(X7:X13)</f>
        <v>82825</v>
      </c>
      <c r="Y14" s="54">
        <f t="shared" si="21"/>
        <v>85311</v>
      </c>
      <c r="Z14" s="54">
        <f t="shared" si="21"/>
        <v>87870</v>
      </c>
      <c r="AA14" s="54">
        <f t="shared" si="21"/>
        <v>90506</v>
      </c>
      <c r="AB14" s="54">
        <f t="shared" si="21"/>
        <v>93222</v>
      </c>
      <c r="AC14" s="54">
        <f t="shared" ref="AC14:AG14" si="22">SUM(AC7:AC13)</f>
        <v>96018</v>
      </c>
      <c r="AD14" s="54">
        <f t="shared" si="22"/>
        <v>98899</v>
      </c>
      <c r="AE14" s="54">
        <f t="shared" si="22"/>
        <v>101865</v>
      </c>
      <c r="AF14" s="54">
        <f t="shared" si="22"/>
        <v>104923</v>
      </c>
      <c r="AG14" s="54">
        <f t="shared" si="22"/>
        <v>108069</v>
      </c>
      <c r="AH14" s="54">
        <f t="shared" si="21"/>
        <v>111311</v>
      </c>
      <c r="AK14" s="92">
        <f>SUM(AK7:AK13)</f>
        <v>82825</v>
      </c>
      <c r="AL14" s="92">
        <f t="shared" ref="AL14:AP14" si="23">SUM(AL7:AL13)</f>
        <v>85311</v>
      </c>
      <c r="AM14" s="92">
        <f t="shared" si="23"/>
        <v>87870</v>
      </c>
      <c r="AN14" s="92">
        <f t="shared" si="23"/>
        <v>90506</v>
      </c>
      <c r="AO14" s="92">
        <f t="shared" si="23"/>
        <v>93222</v>
      </c>
      <c r="AP14" s="92">
        <f t="shared" si="23"/>
        <v>96018</v>
      </c>
    </row>
    <row r="15" spans="2:42" ht="13.8" x14ac:dyDescent="0.3">
      <c r="B15" s="2" t="s">
        <v>11</v>
      </c>
      <c r="C15" s="225">
        <f t="shared" si="3"/>
        <v>69542.2</v>
      </c>
      <c r="D15" s="235">
        <v>1337.35</v>
      </c>
      <c r="E15" s="23">
        <f t="shared" si="4"/>
        <v>35.193421052631578</v>
      </c>
      <c r="F15" s="30"/>
      <c r="G15" s="2" t="s">
        <v>11</v>
      </c>
      <c r="H15" s="225">
        <f t="shared" si="5"/>
        <v>71976.320000000007</v>
      </c>
      <c r="I15" s="235">
        <v>1384.16</v>
      </c>
      <c r="J15" s="23">
        <f t="shared" si="6"/>
        <v>36.42526315789474</v>
      </c>
      <c r="K15" s="29">
        <f t="shared" si="1"/>
        <v>3.5002056305380162E-2</v>
      </c>
      <c r="L15" s="253" t="s">
        <v>364</v>
      </c>
      <c r="M15" s="254">
        <f t="shared" si="7"/>
        <v>69084.599999999991</v>
      </c>
      <c r="N15" s="255">
        <v>1328.55</v>
      </c>
      <c r="O15" s="256">
        <f t="shared" si="8"/>
        <v>34.961842105263159</v>
      </c>
      <c r="P15" s="29"/>
      <c r="Q15" s="238" t="s">
        <v>11</v>
      </c>
      <c r="R15" s="244">
        <f t="shared" si="9"/>
        <v>0</v>
      </c>
      <c r="S15" s="245"/>
      <c r="T15" s="246">
        <f t="shared" si="10"/>
        <v>0</v>
      </c>
      <c r="U15" s="29"/>
      <c r="Y15" s="84">
        <f>(Y14-X14)/X14</f>
        <v>3.0015092061575613E-2</v>
      </c>
      <c r="Z15" s="84">
        <f>(Z14-Y14)/Y14</f>
        <v>2.9996131800119563E-2</v>
      </c>
      <c r="AA15" s="84">
        <f t="shared" ref="AA15:AH15" si="24">(AA14-Z14)/Z14</f>
        <v>2.9998861955161032E-2</v>
      </c>
      <c r="AB15" s="84">
        <f t="shared" si="24"/>
        <v>3.0009060172806221E-2</v>
      </c>
      <c r="AC15" s="84">
        <f t="shared" si="24"/>
        <v>2.9992920126150478E-2</v>
      </c>
      <c r="AD15" s="84">
        <f t="shared" si="24"/>
        <v>3.0004790768397592E-2</v>
      </c>
      <c r="AE15" s="84">
        <f t="shared" si="24"/>
        <v>2.9990192014074966E-2</v>
      </c>
      <c r="AF15" s="84">
        <f t="shared" si="24"/>
        <v>3.0020124674814706E-2</v>
      </c>
      <c r="AG15" s="84">
        <f t="shared" si="24"/>
        <v>2.9983892950068144E-2</v>
      </c>
      <c r="AH15" s="84">
        <f t="shared" si="24"/>
        <v>2.9999352265682112E-2</v>
      </c>
      <c r="AK15" s="93">
        <f t="shared" ref="AK15:AP15" si="25">AK14/X14</f>
        <v>1</v>
      </c>
      <c r="AL15" s="93">
        <f t="shared" si="25"/>
        <v>1</v>
      </c>
      <c r="AM15" s="93">
        <f t="shared" si="25"/>
        <v>1</v>
      </c>
      <c r="AN15" s="93">
        <f t="shared" si="25"/>
        <v>1</v>
      </c>
      <c r="AO15" s="93">
        <f t="shared" si="25"/>
        <v>1</v>
      </c>
      <c r="AP15" s="93">
        <f t="shared" si="25"/>
        <v>1</v>
      </c>
    </row>
    <row r="16" spans="2:42" ht="13.8" x14ac:dyDescent="0.3">
      <c r="B16" s="2" t="s">
        <v>12</v>
      </c>
      <c r="C16" s="225">
        <f t="shared" si="3"/>
        <v>70803.72</v>
      </c>
      <c r="D16" s="235">
        <v>1361.61</v>
      </c>
      <c r="E16" s="23">
        <f t="shared" si="4"/>
        <v>35.831842105263156</v>
      </c>
      <c r="F16" s="30"/>
      <c r="G16" s="2" t="s">
        <v>12</v>
      </c>
      <c r="H16" s="225">
        <f t="shared" si="5"/>
        <v>73281.52</v>
      </c>
      <c r="I16" s="235">
        <v>1409.26</v>
      </c>
      <c r="J16" s="23">
        <f t="shared" si="6"/>
        <v>37.085789473684208</v>
      </c>
      <c r="K16" s="29">
        <f t="shared" si="1"/>
        <v>3.4995336403228515E-2</v>
      </c>
      <c r="L16" s="253" t="s">
        <v>365</v>
      </c>
      <c r="M16" s="254">
        <f t="shared" si="7"/>
        <v>44905.119999999995</v>
      </c>
      <c r="N16" s="255">
        <v>863.56</v>
      </c>
      <c r="O16" s="256">
        <f t="shared" si="8"/>
        <v>22.725263157894734</v>
      </c>
      <c r="P16" s="29"/>
      <c r="Q16" s="238" t="s">
        <v>12</v>
      </c>
      <c r="R16" s="244">
        <f t="shared" si="9"/>
        <v>0</v>
      </c>
      <c r="S16" s="245"/>
      <c r="T16" s="246">
        <f t="shared" si="10"/>
        <v>0</v>
      </c>
      <c r="U16" s="29"/>
      <c r="V16" s="81" t="s">
        <v>79</v>
      </c>
      <c r="W16" s="51"/>
      <c r="Y16" s="266" t="s">
        <v>296</v>
      </c>
      <c r="Z16" s="266"/>
      <c r="AA16" s="266"/>
      <c r="AB16" s="266"/>
      <c r="AC16" s="266"/>
      <c r="AD16" s="266"/>
      <c r="AE16" s="266"/>
      <c r="AF16" s="266"/>
      <c r="AG16" s="266"/>
      <c r="AH16" s="266"/>
      <c r="AK16" s="88"/>
      <c r="AL16" s="88"/>
      <c r="AM16" s="88"/>
      <c r="AN16" s="88"/>
      <c r="AO16" s="88"/>
    </row>
    <row r="17" spans="2:42" ht="13.8" x14ac:dyDescent="0.3">
      <c r="B17" s="2" t="s">
        <v>13</v>
      </c>
      <c r="C17" s="225">
        <f t="shared" si="3"/>
        <v>72482.8</v>
      </c>
      <c r="D17" s="235">
        <v>1393.9</v>
      </c>
      <c r="E17" s="23">
        <f t="shared" si="4"/>
        <v>36.681578947368422</v>
      </c>
      <c r="F17" s="30"/>
      <c r="G17" s="2" t="s">
        <v>13</v>
      </c>
      <c r="H17" s="225">
        <f t="shared" si="5"/>
        <v>75019.88</v>
      </c>
      <c r="I17" s="235">
        <v>1442.69</v>
      </c>
      <c r="J17" s="23">
        <f t="shared" si="6"/>
        <v>37.965526315789475</v>
      </c>
      <c r="K17" s="29">
        <f t="shared" si="1"/>
        <v>3.5002510940526595E-2</v>
      </c>
      <c r="L17" s="253" t="s">
        <v>366</v>
      </c>
      <c r="M17" s="254">
        <f t="shared" si="7"/>
        <v>51813.32</v>
      </c>
      <c r="N17" s="255">
        <v>996.41</v>
      </c>
      <c r="O17" s="256">
        <f t="shared" si="8"/>
        <v>26.221315789473682</v>
      </c>
      <c r="P17" s="29"/>
      <c r="Q17" s="238" t="s">
        <v>13</v>
      </c>
      <c r="R17" s="244">
        <f t="shared" si="9"/>
        <v>0</v>
      </c>
      <c r="S17" s="245"/>
      <c r="T17" s="246">
        <f t="shared" si="10"/>
        <v>0</v>
      </c>
      <c r="U17" s="29"/>
      <c r="V17" s="79" t="s">
        <v>87</v>
      </c>
      <c r="W17" s="80"/>
      <c r="X17" s="82">
        <v>0</v>
      </c>
      <c r="Y17" s="46">
        <f>X17*(1+Y$5)</f>
        <v>0</v>
      </c>
      <c r="Z17" s="46">
        <f t="shared" ref="Z17:AB17" si="26">Y17*(1+Z$5)</f>
        <v>0</v>
      </c>
      <c r="AA17" s="46">
        <f t="shared" si="26"/>
        <v>0</v>
      </c>
      <c r="AB17" s="46">
        <f t="shared" si="26"/>
        <v>0</v>
      </c>
      <c r="AC17" s="46">
        <f>AA17*(1+AC$5)</f>
        <v>0</v>
      </c>
      <c r="AD17" s="46">
        <f t="shared" ref="AD17:AG20" si="27">X17*(1+AD$5)</f>
        <v>0</v>
      </c>
      <c r="AE17" s="46">
        <f t="shared" si="27"/>
        <v>0</v>
      </c>
      <c r="AF17" s="46">
        <f t="shared" si="27"/>
        <v>0</v>
      </c>
      <c r="AG17" s="46">
        <f t="shared" si="27"/>
        <v>0</v>
      </c>
      <c r="AH17" s="46">
        <f>AB17*(1+AH$5)</f>
        <v>0</v>
      </c>
      <c r="AJ17" s="20"/>
      <c r="AK17" s="88"/>
      <c r="AL17" s="88"/>
      <c r="AM17" s="88"/>
      <c r="AN17" s="88"/>
      <c r="AO17" s="88"/>
    </row>
    <row r="18" spans="2:42" ht="13.8" x14ac:dyDescent="0.3">
      <c r="B18" s="2" t="s">
        <v>14</v>
      </c>
      <c r="C18" s="225">
        <f t="shared" si="3"/>
        <v>73697</v>
      </c>
      <c r="D18" s="235">
        <v>1417.25</v>
      </c>
      <c r="E18" s="23">
        <f t="shared" si="4"/>
        <v>37.296052631578945</v>
      </c>
      <c r="F18" s="30"/>
      <c r="G18" s="2" t="s">
        <v>14</v>
      </c>
      <c r="H18" s="225">
        <f t="shared" si="5"/>
        <v>76276.2</v>
      </c>
      <c r="I18" s="235">
        <v>1466.85</v>
      </c>
      <c r="J18" s="23">
        <f t="shared" si="6"/>
        <v>38.601315789473681</v>
      </c>
      <c r="K18" s="29">
        <f t="shared" si="1"/>
        <v>3.4997354030693213E-2</v>
      </c>
      <c r="L18" s="253" t="s">
        <v>367</v>
      </c>
      <c r="M18" s="254">
        <f t="shared" si="7"/>
        <v>58722.04</v>
      </c>
      <c r="N18" s="255">
        <v>1129.27</v>
      </c>
      <c r="O18" s="256">
        <f t="shared" si="8"/>
        <v>29.717631578947369</v>
      </c>
      <c r="P18" s="29"/>
      <c r="Q18" s="238" t="s">
        <v>14</v>
      </c>
      <c r="R18" s="244">
        <f t="shared" si="9"/>
        <v>0</v>
      </c>
      <c r="S18" s="245"/>
      <c r="T18" s="246">
        <f t="shared" si="10"/>
        <v>0</v>
      </c>
      <c r="U18" s="29"/>
      <c r="V18" s="44" t="s">
        <v>88</v>
      </c>
      <c r="W18" s="45"/>
      <c r="X18" s="83">
        <v>0</v>
      </c>
      <c r="Y18" s="46">
        <f>X18*(1+Y$5)</f>
        <v>0</v>
      </c>
      <c r="Z18" s="46">
        <f t="shared" ref="Z18:AB18" si="28">Y18*(1+Z$5)</f>
        <v>0</v>
      </c>
      <c r="AA18" s="46">
        <f t="shared" si="28"/>
        <v>0</v>
      </c>
      <c r="AB18" s="46">
        <f t="shared" si="28"/>
        <v>0</v>
      </c>
      <c r="AC18" s="46">
        <f>AA18*(1+AC$5)</f>
        <v>0</v>
      </c>
      <c r="AD18" s="46">
        <f t="shared" si="27"/>
        <v>0</v>
      </c>
      <c r="AE18" s="46">
        <f t="shared" si="27"/>
        <v>0</v>
      </c>
      <c r="AF18" s="46">
        <f t="shared" si="27"/>
        <v>0</v>
      </c>
      <c r="AG18" s="46">
        <f t="shared" si="27"/>
        <v>0</v>
      </c>
      <c r="AH18" s="46">
        <f>AB18*(1+AH$5)</f>
        <v>0</v>
      </c>
      <c r="AK18" s="88"/>
      <c r="AL18" s="88"/>
      <c r="AM18" s="88"/>
      <c r="AN18" s="88"/>
      <c r="AO18" s="88"/>
    </row>
    <row r="19" spans="2:42" ht="13.8" x14ac:dyDescent="0.3">
      <c r="B19" s="2" t="s">
        <v>15</v>
      </c>
      <c r="C19" s="225">
        <f t="shared" si="3"/>
        <v>75586.16</v>
      </c>
      <c r="D19" s="235">
        <v>1453.58</v>
      </c>
      <c r="E19" s="23">
        <f t="shared" si="4"/>
        <v>38.252105263157894</v>
      </c>
      <c r="F19" s="30"/>
      <c r="G19" s="2" t="s">
        <v>15</v>
      </c>
      <c r="H19" s="225">
        <f t="shared" si="5"/>
        <v>78231.400000000009</v>
      </c>
      <c r="I19" s="235">
        <v>1504.45</v>
      </c>
      <c r="J19" s="23">
        <f t="shared" si="6"/>
        <v>39.590789473684211</v>
      </c>
      <c r="K19" s="29">
        <f t="shared" si="1"/>
        <v>3.4996353829854603E-2</v>
      </c>
      <c r="L19" s="253" t="s">
        <v>368</v>
      </c>
      <c r="M19" s="254">
        <f t="shared" si="7"/>
        <v>65630.239999999991</v>
      </c>
      <c r="N19" s="255">
        <v>1262.1199999999999</v>
      </c>
      <c r="O19" s="256">
        <f t="shared" si="8"/>
        <v>33.21368421052631</v>
      </c>
      <c r="P19" s="29"/>
      <c r="Q19" s="238" t="s">
        <v>15</v>
      </c>
      <c r="R19" s="244">
        <f t="shared" si="9"/>
        <v>0</v>
      </c>
      <c r="S19" s="245"/>
      <c r="T19" s="246">
        <f t="shared" si="10"/>
        <v>0</v>
      </c>
      <c r="U19" s="29"/>
      <c r="V19" s="44" t="s">
        <v>89</v>
      </c>
      <c r="W19" s="45"/>
      <c r="X19" s="83">
        <v>0</v>
      </c>
      <c r="Y19" s="46">
        <f>X19*(1+Y$5)</f>
        <v>0</v>
      </c>
      <c r="Z19" s="46">
        <f t="shared" ref="Z19:AB19" si="29">Y19*(1+Z$5)</f>
        <v>0</v>
      </c>
      <c r="AA19" s="46">
        <f t="shared" si="29"/>
        <v>0</v>
      </c>
      <c r="AB19" s="46">
        <f t="shared" si="29"/>
        <v>0</v>
      </c>
      <c r="AC19" s="46">
        <f>AA19*(1+AC$5)</f>
        <v>0</v>
      </c>
      <c r="AD19" s="46">
        <f t="shared" si="27"/>
        <v>0</v>
      </c>
      <c r="AE19" s="46">
        <f t="shared" si="27"/>
        <v>0</v>
      </c>
      <c r="AF19" s="46">
        <f t="shared" si="27"/>
        <v>0</v>
      </c>
      <c r="AG19" s="46">
        <f t="shared" si="27"/>
        <v>0</v>
      </c>
      <c r="AH19" s="46">
        <f>AB19*(1+AH$5)</f>
        <v>0</v>
      </c>
      <c r="AK19" s="88"/>
      <c r="AL19" s="88"/>
      <c r="AM19" s="88"/>
      <c r="AN19" s="88"/>
      <c r="AO19" s="88"/>
    </row>
    <row r="20" spans="2:42" ht="13.8" x14ac:dyDescent="0.3">
      <c r="B20" s="2" t="s">
        <v>16</v>
      </c>
      <c r="C20" s="225">
        <f t="shared" si="3"/>
        <v>79399.839999999997</v>
      </c>
      <c r="D20" s="235">
        <v>1526.92</v>
      </c>
      <c r="E20" s="23">
        <f t="shared" si="4"/>
        <v>40.182105263157894</v>
      </c>
      <c r="F20" s="30"/>
      <c r="G20" s="2" t="s">
        <v>16</v>
      </c>
      <c r="H20" s="225">
        <f t="shared" si="5"/>
        <v>82179.239999999991</v>
      </c>
      <c r="I20" s="235">
        <v>1580.37</v>
      </c>
      <c r="J20" s="23">
        <f t="shared" si="6"/>
        <v>41.58868421052631</v>
      </c>
      <c r="K20" s="29">
        <f t="shared" si="1"/>
        <v>3.50051083226363E-2</v>
      </c>
      <c r="L20" s="253" t="s">
        <v>369</v>
      </c>
      <c r="M20" s="254">
        <f t="shared" si="7"/>
        <v>70580.639999999999</v>
      </c>
      <c r="N20" s="255">
        <v>1357.32</v>
      </c>
      <c r="O20" s="256">
        <f t="shared" si="8"/>
        <v>35.718947368421048</v>
      </c>
      <c r="P20" s="29"/>
      <c r="Q20" s="238" t="s">
        <v>16</v>
      </c>
      <c r="R20" s="244">
        <f t="shared" si="9"/>
        <v>0</v>
      </c>
      <c r="S20" s="245"/>
      <c r="T20" s="246">
        <f t="shared" si="10"/>
        <v>0</v>
      </c>
      <c r="U20" s="29"/>
      <c r="V20" s="44" t="s">
        <v>90</v>
      </c>
      <c r="W20" s="45"/>
      <c r="X20" s="83">
        <v>0</v>
      </c>
      <c r="Y20" s="46">
        <f>X20*(1+Y$5)</f>
        <v>0</v>
      </c>
      <c r="Z20" s="46">
        <f t="shared" ref="Z20:AB20" si="30">Y20*(1+Z$5)</f>
        <v>0</v>
      </c>
      <c r="AA20" s="46">
        <f t="shared" si="30"/>
        <v>0</v>
      </c>
      <c r="AB20" s="46">
        <f t="shared" si="30"/>
        <v>0</v>
      </c>
      <c r="AC20" s="46">
        <f>AA20*(1+AC$5)</f>
        <v>0</v>
      </c>
      <c r="AD20" s="46">
        <f t="shared" si="27"/>
        <v>0</v>
      </c>
      <c r="AE20" s="46">
        <f t="shared" si="27"/>
        <v>0</v>
      </c>
      <c r="AF20" s="46">
        <f t="shared" si="27"/>
        <v>0</v>
      </c>
      <c r="AG20" s="46">
        <f t="shared" si="27"/>
        <v>0</v>
      </c>
      <c r="AH20" s="46">
        <f>AB20*(1+AH$5)</f>
        <v>0</v>
      </c>
      <c r="AK20" s="88"/>
      <c r="AL20" s="88"/>
      <c r="AM20" s="88"/>
      <c r="AN20" s="88"/>
      <c r="AO20" s="88"/>
      <c r="AP20" s="88"/>
    </row>
    <row r="21" spans="2:42" ht="13.8" x14ac:dyDescent="0.3">
      <c r="B21" s="2" t="s">
        <v>17</v>
      </c>
      <c r="C21" s="225">
        <f t="shared" si="3"/>
        <v>83314.92</v>
      </c>
      <c r="D21" s="235">
        <v>1602.21</v>
      </c>
      <c r="E21" s="23">
        <f t="shared" si="4"/>
        <v>42.163421052631577</v>
      </c>
      <c r="F21" s="30"/>
      <c r="G21" s="2" t="s">
        <v>17</v>
      </c>
      <c r="H21" s="225">
        <f t="shared" si="5"/>
        <v>86231.08</v>
      </c>
      <c r="I21" s="235">
        <v>1658.29</v>
      </c>
      <c r="J21" s="23">
        <f t="shared" si="6"/>
        <v>43.639210526315786</v>
      </c>
      <c r="K21" s="29">
        <f t="shared" si="1"/>
        <v>3.5001653965460171E-2</v>
      </c>
      <c r="L21" s="253" t="s">
        <v>370</v>
      </c>
      <c r="M21" s="254">
        <f t="shared" si="7"/>
        <v>52935.48</v>
      </c>
      <c r="N21" s="255">
        <v>1017.99</v>
      </c>
      <c r="O21" s="256">
        <f t="shared" si="8"/>
        <v>26.789210526315788</v>
      </c>
      <c r="P21" s="29"/>
      <c r="Q21" s="238" t="s">
        <v>17</v>
      </c>
      <c r="R21" s="244">
        <f t="shared" si="9"/>
        <v>0</v>
      </c>
      <c r="S21" s="245"/>
      <c r="T21" s="246">
        <f t="shared" si="10"/>
        <v>0</v>
      </c>
      <c r="U21" s="29"/>
      <c r="V21" s="55" t="s">
        <v>77</v>
      </c>
      <c r="W21" s="51"/>
      <c r="X21" s="50">
        <f>SUM(X17:X20)</f>
        <v>0</v>
      </c>
      <c r="Y21" s="50">
        <f t="shared" ref="Y21:AH21" si="31">SUM(Y17:Y20)</f>
        <v>0</v>
      </c>
      <c r="Z21" s="50">
        <f t="shared" si="31"/>
        <v>0</v>
      </c>
      <c r="AA21" s="50">
        <f t="shared" si="31"/>
        <v>0</v>
      </c>
      <c r="AB21" s="50">
        <f t="shared" si="31"/>
        <v>0</v>
      </c>
      <c r="AC21" s="50">
        <f t="shared" ref="AC21:AG21" si="32">SUM(AC17:AC20)</f>
        <v>0</v>
      </c>
      <c r="AD21" s="50">
        <f t="shared" si="32"/>
        <v>0</v>
      </c>
      <c r="AE21" s="50">
        <f t="shared" si="32"/>
        <v>0</v>
      </c>
      <c r="AF21" s="50">
        <f t="shared" si="32"/>
        <v>0</v>
      </c>
      <c r="AG21" s="50">
        <f t="shared" si="32"/>
        <v>0</v>
      </c>
      <c r="AH21" s="50">
        <f t="shared" si="31"/>
        <v>0</v>
      </c>
      <c r="AK21" s="88"/>
      <c r="AL21" s="88"/>
      <c r="AM21" s="88"/>
      <c r="AN21" s="88"/>
      <c r="AO21" s="88"/>
    </row>
    <row r="22" spans="2:42" ht="13.8" x14ac:dyDescent="0.3">
      <c r="B22" s="2" t="s">
        <v>18</v>
      </c>
      <c r="C22" s="225">
        <f t="shared" si="3"/>
        <v>87258.6</v>
      </c>
      <c r="D22" s="235">
        <v>1678.05</v>
      </c>
      <c r="E22" s="23">
        <f t="shared" si="4"/>
        <v>44.159210526315789</v>
      </c>
      <c r="F22" s="30"/>
      <c r="G22" s="2" t="s">
        <v>18</v>
      </c>
      <c r="H22" s="225">
        <f t="shared" si="5"/>
        <v>90312.56</v>
      </c>
      <c r="I22" s="235">
        <v>1736.78</v>
      </c>
      <c r="J22" s="23">
        <f t="shared" si="6"/>
        <v>45.704736842105262</v>
      </c>
      <c r="K22" s="29">
        <f t="shared" si="1"/>
        <v>3.4998957122850921E-2</v>
      </c>
      <c r="L22" s="253" t="s">
        <v>371</v>
      </c>
      <c r="M22" s="254">
        <f t="shared" si="7"/>
        <v>59993.96</v>
      </c>
      <c r="N22" s="255">
        <v>1153.73</v>
      </c>
      <c r="O22" s="256">
        <f t="shared" si="8"/>
        <v>30.361315789473686</v>
      </c>
      <c r="P22" s="29"/>
      <c r="Q22" s="238" t="s">
        <v>18</v>
      </c>
      <c r="R22" s="244">
        <f t="shared" si="9"/>
        <v>0</v>
      </c>
      <c r="S22" s="245"/>
      <c r="T22" s="246">
        <f t="shared" si="10"/>
        <v>0</v>
      </c>
      <c r="U22" s="29"/>
      <c r="V22" s="47" t="s">
        <v>83</v>
      </c>
      <c r="AK22" s="88"/>
      <c r="AL22" s="88"/>
      <c r="AM22" s="88"/>
      <c r="AN22" s="88"/>
      <c r="AO22" s="88"/>
    </row>
    <row r="23" spans="2:42" ht="13.8" x14ac:dyDescent="0.3">
      <c r="B23" s="2" t="s">
        <v>19</v>
      </c>
      <c r="C23" s="225">
        <f t="shared" si="3"/>
        <v>91598</v>
      </c>
      <c r="D23" s="235">
        <v>1761.5</v>
      </c>
      <c r="E23" s="23">
        <f t="shared" si="4"/>
        <v>46.35526315789474</v>
      </c>
      <c r="F23" s="30"/>
      <c r="G23" s="2" t="s">
        <v>19</v>
      </c>
      <c r="H23" s="225">
        <f t="shared" si="5"/>
        <v>94804.32</v>
      </c>
      <c r="I23" s="235">
        <v>1823.16</v>
      </c>
      <c r="J23" s="23">
        <f t="shared" si="6"/>
        <v>47.97789473684211</v>
      </c>
      <c r="K23" s="29">
        <f t="shared" si="1"/>
        <v>3.500425773488508E-2</v>
      </c>
      <c r="L23" s="253" t="s">
        <v>372</v>
      </c>
      <c r="M23" s="254">
        <f t="shared" si="7"/>
        <v>67051.92</v>
      </c>
      <c r="N23" s="255">
        <v>1289.46</v>
      </c>
      <c r="O23" s="256">
        <f t="shared" si="8"/>
        <v>33.933157894736844</v>
      </c>
      <c r="P23" s="29"/>
      <c r="Q23" s="238" t="s">
        <v>19</v>
      </c>
      <c r="R23" s="244">
        <f t="shared" si="9"/>
        <v>0</v>
      </c>
      <c r="S23" s="245"/>
      <c r="T23" s="246">
        <f t="shared" si="10"/>
        <v>0</v>
      </c>
      <c r="U23" s="29"/>
      <c r="V23" s="47" t="s">
        <v>82</v>
      </c>
      <c r="AK23" s="88"/>
      <c r="AL23" s="88"/>
      <c r="AM23" s="88"/>
      <c r="AN23" s="88"/>
      <c r="AO23" s="88"/>
    </row>
    <row r="24" spans="2:42" ht="13.8" x14ac:dyDescent="0.3">
      <c r="B24" s="2" t="s">
        <v>20</v>
      </c>
      <c r="C24" s="225">
        <f t="shared" si="3"/>
        <v>95711.72</v>
      </c>
      <c r="D24" s="235">
        <v>1840.61</v>
      </c>
      <c r="E24" s="23">
        <f t="shared" si="4"/>
        <v>48.437105263157889</v>
      </c>
      <c r="F24" s="30"/>
      <c r="G24" s="2" t="s">
        <v>20</v>
      </c>
      <c r="H24" s="225">
        <f t="shared" si="5"/>
        <v>99061.56</v>
      </c>
      <c r="I24" s="235">
        <v>1905.03</v>
      </c>
      <c r="J24" s="23">
        <f t="shared" si="6"/>
        <v>50.132368421052632</v>
      </c>
      <c r="K24" s="29">
        <f t="shared" si="1"/>
        <v>3.4999266547503412E-2</v>
      </c>
      <c r="L24" s="253" t="s">
        <v>373</v>
      </c>
      <c r="M24" s="254">
        <f t="shared" si="7"/>
        <v>72177.039999999994</v>
      </c>
      <c r="N24" s="255">
        <v>1388.02</v>
      </c>
      <c r="O24" s="256">
        <f t="shared" si="8"/>
        <v>36.526842105263157</v>
      </c>
      <c r="P24" s="29"/>
      <c r="Q24" s="238" t="s">
        <v>20</v>
      </c>
      <c r="R24" s="244">
        <f t="shared" si="9"/>
        <v>0</v>
      </c>
      <c r="S24" s="245"/>
      <c r="T24" s="246">
        <f t="shared" si="10"/>
        <v>0</v>
      </c>
      <c r="U24" s="29"/>
      <c r="AK24" s="88"/>
      <c r="AL24" s="88"/>
      <c r="AM24" s="88"/>
      <c r="AN24" s="88"/>
      <c r="AO24" s="88"/>
    </row>
    <row r="25" spans="2:42" ht="40.200000000000003" x14ac:dyDescent="0.3">
      <c r="B25" s="2" t="s">
        <v>21</v>
      </c>
      <c r="C25" s="225">
        <f t="shared" si="3"/>
        <v>99844.160000000003</v>
      </c>
      <c r="D25" s="235">
        <v>1920.08</v>
      </c>
      <c r="E25" s="23">
        <f t="shared" si="4"/>
        <v>50.528421052631579</v>
      </c>
      <c r="F25" s="30"/>
      <c r="G25" s="2" t="s">
        <v>21</v>
      </c>
      <c r="H25" s="225">
        <f t="shared" si="5"/>
        <v>103339.08</v>
      </c>
      <c r="I25" s="235">
        <v>1987.29</v>
      </c>
      <c r="J25" s="23">
        <f t="shared" si="6"/>
        <v>52.297105263157896</v>
      </c>
      <c r="K25" s="29">
        <f t="shared" si="1"/>
        <v>3.5003749843756531E-2</v>
      </c>
      <c r="L25" s="253" t="s">
        <v>374</v>
      </c>
      <c r="M25" s="254">
        <f t="shared" si="7"/>
        <v>54133.04</v>
      </c>
      <c r="N25" s="255">
        <v>1041.02</v>
      </c>
      <c r="O25" s="256">
        <f t="shared" si="8"/>
        <v>27.395263157894735</v>
      </c>
      <c r="P25" s="29"/>
      <c r="Q25" s="238" t="s">
        <v>21</v>
      </c>
      <c r="R25" s="244">
        <f t="shared" si="9"/>
        <v>0</v>
      </c>
      <c r="S25" s="245"/>
      <c r="T25" s="246">
        <f t="shared" si="10"/>
        <v>0</v>
      </c>
      <c r="U25" s="29"/>
      <c r="V25" s="18" t="s">
        <v>46</v>
      </c>
      <c r="W25" s="12"/>
      <c r="X25" s="5" t="str">
        <f t="shared" ref="X25:AH25" si="33">+X3</f>
        <v>Current
2025-26
(Next EA)</v>
      </c>
      <c r="Y25" s="5" t="str">
        <f t="shared" si="33"/>
        <v xml:space="preserve">
2026-27
(Next EA)</v>
      </c>
      <c r="Z25" s="5" t="str">
        <f t="shared" si="33"/>
        <v xml:space="preserve">
2027-28
(Next EA)</v>
      </c>
      <c r="AA25" s="5" t="str">
        <f t="shared" si="33"/>
        <v xml:space="preserve">
2028-29
(Next EA)</v>
      </c>
      <c r="AB25" s="5" t="str">
        <f t="shared" si="33"/>
        <v xml:space="preserve">
2029-30
(Next EA)</v>
      </c>
      <c r="AC25" s="5" t="str">
        <f t="shared" ref="AC25:AG25" si="34">+AC3</f>
        <v xml:space="preserve">
2030-31
(Next EA)</v>
      </c>
      <c r="AD25" s="5" t="str">
        <f t="shared" si="34"/>
        <v xml:space="preserve">
2031-32
(Next EA)</v>
      </c>
      <c r="AE25" s="5" t="str">
        <f t="shared" si="34"/>
        <v xml:space="preserve">
2032-33
(Next EA)</v>
      </c>
      <c r="AF25" s="5" t="str">
        <f t="shared" si="34"/>
        <v xml:space="preserve">
2033-34
(Next EA)</v>
      </c>
      <c r="AG25" s="5" t="str">
        <f t="shared" si="34"/>
        <v xml:space="preserve">
2034-35
(Next EA)</v>
      </c>
      <c r="AH25" s="5" t="str">
        <f t="shared" si="33"/>
        <v xml:space="preserve">
2035-36
(Next EA)</v>
      </c>
      <c r="AK25" s="88"/>
      <c r="AL25" s="88"/>
      <c r="AM25" s="88"/>
      <c r="AN25" s="88"/>
      <c r="AO25" s="88"/>
    </row>
    <row r="26" spans="2:42" ht="13.8" x14ac:dyDescent="0.3">
      <c r="B26" s="19" t="s">
        <v>47</v>
      </c>
      <c r="C26" s="225">
        <f t="shared" si="3"/>
        <v>102857.56</v>
      </c>
      <c r="D26" s="235">
        <v>1978.03</v>
      </c>
      <c r="E26" s="23">
        <f t="shared" si="4"/>
        <v>52.053421052631577</v>
      </c>
      <c r="F26" s="30"/>
      <c r="G26" s="19" t="s">
        <v>47</v>
      </c>
      <c r="H26" s="225">
        <f t="shared" si="5"/>
        <v>106457.52</v>
      </c>
      <c r="I26" s="235">
        <v>2047.26</v>
      </c>
      <c r="J26" s="23">
        <f t="shared" si="6"/>
        <v>53.875263157894736</v>
      </c>
      <c r="K26" s="29">
        <f t="shared" si="1"/>
        <v>3.4999469168819491E-2</v>
      </c>
      <c r="L26" s="257" t="s">
        <v>375</v>
      </c>
      <c r="M26" s="254">
        <f t="shared" si="7"/>
        <v>61350.64</v>
      </c>
      <c r="N26" s="255">
        <v>1179.82</v>
      </c>
      <c r="O26" s="256">
        <f t="shared" si="8"/>
        <v>31.047894736842103</v>
      </c>
      <c r="P26" s="29"/>
      <c r="Q26" s="247" t="s">
        <v>47</v>
      </c>
      <c r="R26" s="244">
        <f t="shared" si="9"/>
        <v>0</v>
      </c>
      <c r="S26" s="245"/>
      <c r="T26" s="246">
        <f t="shared" si="10"/>
        <v>0</v>
      </c>
      <c r="U26" s="29"/>
      <c r="V26" s="68" t="str">
        <f>V4</f>
        <v>B2B - Band 2 Level B</v>
      </c>
      <c r="W26" s="13" t="s">
        <v>73</v>
      </c>
      <c r="X26" s="6">
        <f>X4</f>
        <v>69452.323199999999</v>
      </c>
      <c r="Y26" s="6">
        <f t="shared" ref="Y26:AB26" si="35">Y4</f>
        <v>71535.892896000005</v>
      </c>
      <c r="Z26" s="6">
        <f t="shared" si="35"/>
        <v>73681.969682880008</v>
      </c>
      <c r="AA26" s="6">
        <f t="shared" si="35"/>
        <v>75892.42877336641</v>
      </c>
      <c r="AB26" s="6">
        <f t="shared" si="35"/>
        <v>78169.201636567406</v>
      </c>
      <c r="AC26" s="6">
        <f t="shared" ref="AC26:AH26" si="36">AC4</f>
        <v>80514.277685664434</v>
      </c>
      <c r="AD26" s="6">
        <f t="shared" si="36"/>
        <v>82929.70601623437</v>
      </c>
      <c r="AE26" s="6">
        <f t="shared" si="36"/>
        <v>85417.597196721399</v>
      </c>
      <c r="AF26" s="6">
        <f t="shared" si="36"/>
        <v>87980.125112623049</v>
      </c>
      <c r="AG26" s="6">
        <f t="shared" si="36"/>
        <v>90619.52886600174</v>
      </c>
      <c r="AH26" s="6">
        <f t="shared" si="36"/>
        <v>93338.114731981797</v>
      </c>
    </row>
    <row r="27" spans="2:42" ht="13.8" x14ac:dyDescent="0.3">
      <c r="B27" s="2" t="s">
        <v>22</v>
      </c>
      <c r="C27" s="225">
        <f t="shared" si="3"/>
        <v>106855.84</v>
      </c>
      <c r="D27" s="235">
        <v>2054.92</v>
      </c>
      <c r="E27" s="23">
        <f t="shared" si="4"/>
        <v>54.076842105263161</v>
      </c>
      <c r="F27" s="30"/>
      <c r="G27" s="2" t="s">
        <v>22</v>
      </c>
      <c r="H27" s="225">
        <f t="shared" si="5"/>
        <v>110595.68000000001</v>
      </c>
      <c r="I27" s="235">
        <v>2126.84</v>
      </c>
      <c r="J27" s="23">
        <f t="shared" si="6"/>
        <v>55.969473684210527</v>
      </c>
      <c r="K27" s="29">
        <f t="shared" si="1"/>
        <v>3.499892939871134E-2</v>
      </c>
      <c r="L27" s="253" t="s">
        <v>376</v>
      </c>
      <c r="M27" s="254">
        <f t="shared" si="7"/>
        <v>68568.239999999991</v>
      </c>
      <c r="N27" s="255">
        <v>1318.62</v>
      </c>
      <c r="O27" s="256">
        <f t="shared" si="8"/>
        <v>34.700526315789467</v>
      </c>
      <c r="P27" s="29"/>
      <c r="Q27" s="238" t="s">
        <v>22</v>
      </c>
      <c r="R27" s="244">
        <f t="shared" si="9"/>
        <v>0</v>
      </c>
      <c r="S27" s="245"/>
      <c r="T27" s="246">
        <f t="shared" si="10"/>
        <v>0</v>
      </c>
      <c r="U27" s="29"/>
      <c r="V27" s="7" t="s">
        <v>44</v>
      </c>
      <c r="W27" s="14"/>
      <c r="X27" s="8">
        <f t="shared" ref="X27:AB27" si="37">(X26/52)/38</f>
        <v>35.14793684210526</v>
      </c>
      <c r="Y27" s="8">
        <f t="shared" si="37"/>
        <v>36.202374947368426</v>
      </c>
      <c r="Z27" s="8">
        <f t="shared" si="37"/>
        <v>37.288446195789476</v>
      </c>
      <c r="AA27" s="8">
        <f t="shared" si="37"/>
        <v>38.407099581663168</v>
      </c>
      <c r="AB27" s="8">
        <f t="shared" si="37"/>
        <v>39.559312569113061</v>
      </c>
      <c r="AC27" s="8">
        <f t="shared" ref="AC27:AH27" si="38">(AC26/52)/38</f>
        <v>40.746091946186453</v>
      </c>
      <c r="AD27" s="8">
        <f t="shared" si="38"/>
        <v>41.968474704572053</v>
      </c>
      <c r="AE27" s="8">
        <f t="shared" si="38"/>
        <v>43.22752894570921</v>
      </c>
      <c r="AF27" s="8">
        <f t="shared" si="38"/>
        <v>44.524354814080489</v>
      </c>
      <c r="AG27" s="8">
        <f t="shared" si="38"/>
        <v>45.860085458502901</v>
      </c>
      <c r="AH27" s="8">
        <f t="shared" si="38"/>
        <v>47.235888022257996</v>
      </c>
    </row>
    <row r="28" spans="2:42" ht="13.8" x14ac:dyDescent="0.3">
      <c r="B28" s="2" t="s">
        <v>23</v>
      </c>
      <c r="C28" s="225">
        <f t="shared" si="3"/>
        <v>110967.48</v>
      </c>
      <c r="D28" s="235">
        <v>2133.9899999999998</v>
      </c>
      <c r="E28" s="23">
        <f t="shared" si="4"/>
        <v>56.15763157894736</v>
      </c>
      <c r="F28" s="30"/>
      <c r="G28" s="2" t="s">
        <v>23</v>
      </c>
      <c r="H28" s="225">
        <f t="shared" si="5"/>
        <v>114851.35999999999</v>
      </c>
      <c r="I28" s="235">
        <v>2208.6799999999998</v>
      </c>
      <c r="J28" s="23">
        <f t="shared" si="6"/>
        <v>58.123157894736835</v>
      </c>
      <c r="K28" s="29">
        <f t="shared" si="1"/>
        <v>3.5000164012015084E-2</v>
      </c>
      <c r="L28" s="253" t="s">
        <v>377</v>
      </c>
      <c r="M28" s="254">
        <f t="shared" si="7"/>
        <v>73352.760000000009</v>
      </c>
      <c r="N28" s="255">
        <v>1410.63</v>
      </c>
      <c r="O28" s="256">
        <f t="shared" si="8"/>
        <v>37.121842105263163</v>
      </c>
      <c r="P28" s="29"/>
      <c r="Q28" s="238" t="s">
        <v>23</v>
      </c>
      <c r="R28" s="244">
        <f t="shared" si="9"/>
        <v>0</v>
      </c>
      <c r="S28" s="245"/>
      <c r="T28" s="246">
        <f t="shared" si="10"/>
        <v>0</v>
      </c>
      <c r="U28" s="29"/>
      <c r="Y28" s="38">
        <f>(Y27-X27)/X27</f>
        <v>3.0000000000000245E-2</v>
      </c>
      <c r="Z28" s="38">
        <f>(Z27-Y27)/Y27</f>
        <v>2.9999999999999909E-2</v>
      </c>
      <c r="AA28" s="38">
        <f t="shared" ref="AA28:AH28" si="39">(AA27-Z27)/Z27</f>
        <v>3.0000000000000214E-2</v>
      </c>
      <c r="AB28" s="38">
        <f t="shared" si="39"/>
        <v>2.9999999999999947E-2</v>
      </c>
      <c r="AC28" s="38">
        <f t="shared" si="39"/>
        <v>3.0000000000000016E-2</v>
      </c>
      <c r="AD28" s="38">
        <f t="shared" si="39"/>
        <v>3.0000000000000141E-2</v>
      </c>
      <c r="AE28" s="38">
        <f t="shared" si="39"/>
        <v>2.9999999999999898E-2</v>
      </c>
      <c r="AF28" s="38">
        <f t="shared" si="39"/>
        <v>3.0000000000000061E-2</v>
      </c>
      <c r="AG28" s="38">
        <f t="shared" si="39"/>
        <v>2.9999999999999943E-2</v>
      </c>
      <c r="AH28" s="38">
        <f t="shared" si="39"/>
        <v>3.0000000000000158E-2</v>
      </c>
    </row>
    <row r="29" spans="2:42" ht="13.8" x14ac:dyDescent="0.3">
      <c r="B29" s="2" t="s">
        <v>24</v>
      </c>
      <c r="C29" s="225">
        <f t="shared" si="3"/>
        <v>115094.2</v>
      </c>
      <c r="D29" s="235">
        <v>2213.35</v>
      </c>
      <c r="E29" s="23">
        <f t="shared" si="4"/>
        <v>58.246052631578948</v>
      </c>
      <c r="F29" s="30"/>
      <c r="G29" s="2" t="s">
        <v>24</v>
      </c>
      <c r="H29" s="225">
        <f t="shared" si="5"/>
        <v>119122.64000000001</v>
      </c>
      <c r="I29" s="235">
        <v>2290.8200000000002</v>
      </c>
      <c r="J29" s="23">
        <f t="shared" si="6"/>
        <v>60.284736842105268</v>
      </c>
      <c r="K29" s="29">
        <f t="shared" si="1"/>
        <v>3.5001242460523711E-2</v>
      </c>
      <c r="L29" s="253" t="s">
        <v>378</v>
      </c>
      <c r="M29" s="254">
        <f t="shared" si="7"/>
        <v>55014.96</v>
      </c>
      <c r="N29" s="255">
        <v>1057.98</v>
      </c>
      <c r="O29" s="256">
        <f t="shared" si="8"/>
        <v>27.841578947368422</v>
      </c>
      <c r="P29" s="29"/>
      <c r="Q29" s="238" t="s">
        <v>24</v>
      </c>
      <c r="R29" s="244">
        <f t="shared" si="9"/>
        <v>0</v>
      </c>
      <c r="S29" s="245"/>
      <c r="T29" s="246">
        <f t="shared" si="10"/>
        <v>0</v>
      </c>
      <c r="U29" s="29"/>
      <c r="V29" s="15"/>
      <c r="W29" s="16"/>
      <c r="X29" s="17" t="s">
        <v>45</v>
      </c>
    </row>
    <row r="30" spans="2:42" ht="13.8" x14ac:dyDescent="0.3">
      <c r="B30" s="2" t="s">
        <v>25</v>
      </c>
      <c r="C30" s="225">
        <f t="shared" si="3"/>
        <v>119627.04</v>
      </c>
      <c r="D30" s="235">
        <v>2300.52</v>
      </c>
      <c r="E30" s="23">
        <f t="shared" si="4"/>
        <v>60.54</v>
      </c>
      <c r="F30" s="30"/>
      <c r="G30" s="2" t="s">
        <v>25</v>
      </c>
      <c r="H30" s="225">
        <f t="shared" si="5"/>
        <v>123814.08</v>
      </c>
      <c r="I30" s="235">
        <v>2381.04</v>
      </c>
      <c r="J30" s="23">
        <f t="shared" si="6"/>
        <v>62.658947368421053</v>
      </c>
      <c r="K30" s="29">
        <f t="shared" si="1"/>
        <v>3.500078243179805E-2</v>
      </c>
      <c r="L30" s="253" t="s">
        <v>379</v>
      </c>
      <c r="M30" s="254">
        <f t="shared" si="7"/>
        <v>62350.080000000002</v>
      </c>
      <c r="N30" s="255">
        <v>1199.04</v>
      </c>
      <c r="O30" s="256">
        <f t="shared" si="8"/>
        <v>31.553684210526313</v>
      </c>
      <c r="P30" s="29"/>
      <c r="Q30" s="238" t="s">
        <v>25</v>
      </c>
      <c r="R30" s="244">
        <f t="shared" si="9"/>
        <v>0</v>
      </c>
      <c r="S30" s="245"/>
      <c r="T30" s="246">
        <f t="shared" si="10"/>
        <v>0</v>
      </c>
      <c r="U30" s="29"/>
      <c r="V30" s="10" t="s">
        <v>39</v>
      </c>
      <c r="W30" s="13">
        <v>1</v>
      </c>
      <c r="X30" s="56">
        <v>0</v>
      </c>
    </row>
    <row r="31" spans="2:42" ht="13.8" x14ac:dyDescent="0.3">
      <c r="B31" s="2" t="s">
        <v>26</v>
      </c>
      <c r="C31" s="225">
        <f t="shared" si="3"/>
        <v>124157.28</v>
      </c>
      <c r="D31" s="235">
        <v>2387.64</v>
      </c>
      <c r="E31" s="23">
        <f t="shared" si="4"/>
        <v>62.832631578947364</v>
      </c>
      <c r="F31" s="30"/>
      <c r="G31" s="2" t="s">
        <v>26</v>
      </c>
      <c r="H31" s="225">
        <f t="shared" si="5"/>
        <v>128502.92</v>
      </c>
      <c r="I31" s="235">
        <v>2471.21</v>
      </c>
      <c r="J31" s="23">
        <f t="shared" si="6"/>
        <v>65.031842105263152</v>
      </c>
      <c r="K31" s="29">
        <f t="shared" si="1"/>
        <v>3.5001088941381431E-2</v>
      </c>
      <c r="L31" s="253" t="s">
        <v>380</v>
      </c>
      <c r="M31" s="254">
        <f t="shared" si="7"/>
        <v>69685.2</v>
      </c>
      <c r="N31" s="255">
        <v>1340.1</v>
      </c>
      <c r="O31" s="256">
        <f t="shared" si="8"/>
        <v>35.265789473684208</v>
      </c>
      <c r="P31" s="29"/>
      <c r="Q31" s="238" t="s">
        <v>26</v>
      </c>
      <c r="R31" s="244">
        <f t="shared" si="9"/>
        <v>0</v>
      </c>
      <c r="S31" s="245"/>
      <c r="T31" s="246">
        <f t="shared" si="10"/>
        <v>0</v>
      </c>
      <c r="U31" s="29"/>
      <c r="V31" s="10" t="s">
        <v>38</v>
      </c>
      <c r="W31" s="13">
        <v>1.5</v>
      </c>
      <c r="X31" s="56">
        <v>0</v>
      </c>
    </row>
    <row r="32" spans="2:42" ht="13.8" x14ac:dyDescent="0.3">
      <c r="B32" s="2" t="s">
        <v>27</v>
      </c>
      <c r="C32" s="225">
        <f t="shared" si="3"/>
        <v>128973</v>
      </c>
      <c r="D32" s="235">
        <v>2480.25</v>
      </c>
      <c r="E32" s="23">
        <f t="shared" si="4"/>
        <v>65.26973684210526</v>
      </c>
      <c r="F32" s="30"/>
      <c r="G32" s="2" t="s">
        <v>27</v>
      </c>
      <c r="H32" s="225">
        <f t="shared" si="5"/>
        <v>133487.12</v>
      </c>
      <c r="I32" s="235">
        <v>2567.06</v>
      </c>
      <c r="J32" s="23">
        <f t="shared" si="6"/>
        <v>67.554210526315785</v>
      </c>
      <c r="K32" s="29">
        <f t="shared" si="1"/>
        <v>3.5000503981453462E-2</v>
      </c>
      <c r="L32" s="253" t="s">
        <v>381</v>
      </c>
      <c r="M32" s="254">
        <f t="shared" si="7"/>
        <v>73955.44</v>
      </c>
      <c r="N32" s="255">
        <v>1422.22</v>
      </c>
      <c r="O32" s="256">
        <f t="shared" si="8"/>
        <v>37.426842105263155</v>
      </c>
      <c r="P32" s="29"/>
      <c r="Q32" s="238" t="s">
        <v>27</v>
      </c>
      <c r="R32" s="244">
        <f t="shared" si="9"/>
        <v>0</v>
      </c>
      <c r="S32" s="245"/>
      <c r="T32" s="246">
        <f t="shared" si="10"/>
        <v>0</v>
      </c>
      <c r="U32" s="29"/>
      <c r="V32" s="10" t="s">
        <v>40</v>
      </c>
      <c r="W32" s="13">
        <v>2</v>
      </c>
      <c r="X32" s="56">
        <v>0</v>
      </c>
    </row>
    <row r="33" spans="2:38" ht="13.8" x14ac:dyDescent="0.3">
      <c r="B33" s="2" t="s">
        <v>28</v>
      </c>
      <c r="C33" s="225">
        <f t="shared" si="3"/>
        <v>134053.4</v>
      </c>
      <c r="D33" s="235">
        <v>2577.9499999999998</v>
      </c>
      <c r="E33" s="23">
        <f t="shared" si="4"/>
        <v>67.840789473684211</v>
      </c>
      <c r="F33" s="30"/>
      <c r="G33" s="2" t="s">
        <v>28</v>
      </c>
      <c r="H33" s="225">
        <f t="shared" si="5"/>
        <v>138745.35999999999</v>
      </c>
      <c r="I33" s="235">
        <v>2668.18</v>
      </c>
      <c r="J33" s="23">
        <f t="shared" si="6"/>
        <v>70.215263157894739</v>
      </c>
      <c r="K33" s="29">
        <f t="shared" si="1"/>
        <v>3.5000678833957244E-2</v>
      </c>
      <c r="L33" s="253" t="s">
        <v>382</v>
      </c>
      <c r="M33" s="254">
        <f t="shared" si="7"/>
        <v>75297.039999999994</v>
      </c>
      <c r="N33" s="255">
        <v>1448.02</v>
      </c>
      <c r="O33" s="256">
        <f t="shared" si="8"/>
        <v>38.105789473684212</v>
      </c>
      <c r="P33" s="29"/>
      <c r="Q33" s="238" t="s">
        <v>28</v>
      </c>
      <c r="R33" s="244">
        <f t="shared" si="9"/>
        <v>0</v>
      </c>
      <c r="S33" s="245"/>
      <c r="T33" s="246">
        <f t="shared" si="10"/>
        <v>0</v>
      </c>
      <c r="U33" s="29"/>
      <c r="V33" s="10" t="s">
        <v>41</v>
      </c>
      <c r="W33" s="13">
        <v>2.5</v>
      </c>
      <c r="X33" s="56">
        <v>0</v>
      </c>
    </row>
    <row r="34" spans="2:38" ht="13.8" x14ac:dyDescent="0.3">
      <c r="B34" s="19" t="s">
        <v>322</v>
      </c>
      <c r="C34" s="225">
        <f t="shared" ref="C34:C52" si="40">ROUND(D34*52,2)</f>
        <v>103005.24</v>
      </c>
      <c r="D34" s="235">
        <v>1980.87</v>
      </c>
      <c r="E34" s="23">
        <f>D34/38</f>
        <v>52.128157894736837</v>
      </c>
      <c r="F34" s="30"/>
      <c r="G34" s="19" t="s">
        <v>322</v>
      </c>
      <c r="H34" s="225">
        <f t="shared" si="5"/>
        <v>106610.4</v>
      </c>
      <c r="I34" s="228">
        <v>2050.1999999999998</v>
      </c>
      <c r="J34" s="23">
        <f t="shared" si="6"/>
        <v>53.952631578947361</v>
      </c>
      <c r="K34" s="29">
        <f t="shared" ref="K34:K65" si="41">(J34-E34)/E34</f>
        <v>3.4999772827091089E-2</v>
      </c>
      <c r="L34" s="257" t="s">
        <v>383</v>
      </c>
      <c r="M34" s="254">
        <f t="shared" si="7"/>
        <v>77082.720000000001</v>
      </c>
      <c r="N34" s="255">
        <v>1482.36</v>
      </c>
      <c r="O34" s="256">
        <f t="shared" si="8"/>
        <v>39.009473684210526</v>
      </c>
      <c r="P34" s="29"/>
      <c r="Q34" s="247" t="s">
        <v>322</v>
      </c>
      <c r="R34" s="244">
        <f t="shared" si="9"/>
        <v>0</v>
      </c>
      <c r="S34" s="245"/>
      <c r="T34" s="246">
        <f t="shared" si="10"/>
        <v>0</v>
      </c>
      <c r="U34" s="29"/>
      <c r="V34" s="10" t="s">
        <v>42</v>
      </c>
      <c r="W34" s="13">
        <v>0.5</v>
      </c>
      <c r="X34" s="56">
        <v>0</v>
      </c>
    </row>
    <row r="35" spans="2:38" ht="13.8" x14ac:dyDescent="0.3">
      <c r="B35" s="19" t="s">
        <v>323</v>
      </c>
      <c r="C35" s="225">
        <f t="shared" si="40"/>
        <v>104948.48</v>
      </c>
      <c r="D35" s="235">
        <v>2018.24</v>
      </c>
      <c r="E35" s="23">
        <f t="shared" ref="E35:E52" si="42">D35/38</f>
        <v>53.111578947368422</v>
      </c>
      <c r="F35" s="30"/>
      <c r="G35" s="19" t="s">
        <v>323</v>
      </c>
      <c r="H35" s="225">
        <f t="shared" si="5"/>
        <v>108621.76000000001</v>
      </c>
      <c r="I35" s="228">
        <v>2088.88</v>
      </c>
      <c r="J35" s="23">
        <f t="shared" si="6"/>
        <v>54.970526315789478</v>
      </c>
      <c r="K35" s="29">
        <f t="shared" si="41"/>
        <v>3.5000792769938227E-2</v>
      </c>
      <c r="L35" s="257" t="s">
        <v>384</v>
      </c>
      <c r="M35" s="254">
        <f t="shared" si="7"/>
        <v>78373.88</v>
      </c>
      <c r="N35" s="255">
        <v>1507.19</v>
      </c>
      <c r="O35" s="256">
        <f t="shared" si="8"/>
        <v>39.662894736842105</v>
      </c>
      <c r="P35" s="29"/>
      <c r="Q35" s="247" t="s">
        <v>323</v>
      </c>
      <c r="R35" s="244">
        <f t="shared" si="9"/>
        <v>0</v>
      </c>
      <c r="S35" s="245"/>
      <c r="T35" s="246">
        <f t="shared" si="10"/>
        <v>0</v>
      </c>
      <c r="U35" s="29"/>
      <c r="V35" s="10" t="s">
        <v>43</v>
      </c>
      <c r="W35" s="13">
        <v>1</v>
      </c>
      <c r="X35" s="56">
        <v>0</v>
      </c>
    </row>
    <row r="36" spans="2:38" ht="13.8" x14ac:dyDescent="0.3">
      <c r="B36" s="19" t="s">
        <v>324</v>
      </c>
      <c r="C36" s="225">
        <f t="shared" si="40"/>
        <v>105933.88</v>
      </c>
      <c r="D36" s="235">
        <v>2037.19</v>
      </c>
      <c r="E36" s="23">
        <f t="shared" si="42"/>
        <v>53.610263157894735</v>
      </c>
      <c r="G36" s="19" t="s">
        <v>324</v>
      </c>
      <c r="H36" s="225">
        <f t="shared" si="5"/>
        <v>109641.47999999998</v>
      </c>
      <c r="I36" s="228">
        <v>2108.4899999999998</v>
      </c>
      <c r="J36" s="23">
        <f t="shared" si="6"/>
        <v>55.486578947368415</v>
      </c>
      <c r="K36" s="29">
        <f t="shared" si="41"/>
        <v>3.4999190060818981E-2</v>
      </c>
      <c r="L36" s="257" t="s">
        <v>385</v>
      </c>
      <c r="M36" s="254">
        <f t="shared" si="7"/>
        <v>80383.16</v>
      </c>
      <c r="N36" s="255">
        <v>1545.83</v>
      </c>
      <c r="O36" s="256">
        <f t="shared" si="8"/>
        <v>40.679736842105264</v>
      </c>
      <c r="P36" s="29"/>
      <c r="Q36" s="247" t="s">
        <v>324</v>
      </c>
      <c r="R36" s="244">
        <f t="shared" si="9"/>
        <v>0</v>
      </c>
      <c r="S36" s="245"/>
      <c r="T36" s="246">
        <f t="shared" si="10"/>
        <v>0</v>
      </c>
      <c r="U36" s="29"/>
      <c r="W36" s="2"/>
      <c r="X36" s="2"/>
    </row>
    <row r="37" spans="2:38" ht="13.8" x14ac:dyDescent="0.3">
      <c r="B37" s="19" t="s">
        <v>325</v>
      </c>
      <c r="C37" s="225">
        <f t="shared" si="40"/>
        <v>108144.92</v>
      </c>
      <c r="D37" s="235">
        <v>2079.71</v>
      </c>
      <c r="E37" s="23">
        <f t="shared" si="42"/>
        <v>54.729210526315789</v>
      </c>
      <c r="G37" s="19" t="s">
        <v>325</v>
      </c>
      <c r="H37" s="225">
        <f t="shared" si="5"/>
        <v>111930</v>
      </c>
      <c r="I37" s="228">
        <v>2152.5</v>
      </c>
      <c r="J37" s="23">
        <f t="shared" si="6"/>
        <v>56.64473684210526</v>
      </c>
      <c r="K37" s="29">
        <f t="shared" si="41"/>
        <v>3.5000072125440512E-2</v>
      </c>
      <c r="L37" s="257" t="s">
        <v>386</v>
      </c>
      <c r="M37" s="254">
        <f t="shared" si="7"/>
        <v>84439.16</v>
      </c>
      <c r="N37" s="255">
        <v>1623.83</v>
      </c>
      <c r="O37" s="256">
        <f t="shared" si="8"/>
        <v>42.732368421052627</v>
      </c>
      <c r="P37" s="29"/>
      <c r="Q37" s="247" t="s">
        <v>325</v>
      </c>
      <c r="R37" s="244">
        <f t="shared" si="9"/>
        <v>0</v>
      </c>
      <c r="S37" s="245"/>
      <c r="T37" s="246">
        <f t="shared" si="10"/>
        <v>0</v>
      </c>
      <c r="U37" s="29"/>
      <c r="V37" s="31" t="s">
        <v>91</v>
      </c>
    </row>
    <row r="38" spans="2:38" ht="13.8" x14ac:dyDescent="0.3">
      <c r="B38" s="19" t="s">
        <v>326</v>
      </c>
      <c r="C38" s="225">
        <f t="shared" si="40"/>
        <v>110422</v>
      </c>
      <c r="D38" s="235">
        <v>2123.5</v>
      </c>
      <c r="E38" s="23">
        <f t="shared" si="42"/>
        <v>55.881578947368418</v>
      </c>
      <c r="G38" s="19" t="s">
        <v>326</v>
      </c>
      <c r="H38" s="225">
        <f t="shared" si="5"/>
        <v>114286.64000000001</v>
      </c>
      <c r="I38" s="228">
        <v>2197.8200000000002</v>
      </c>
      <c r="J38" s="23">
        <f t="shared" si="6"/>
        <v>57.837368421052638</v>
      </c>
      <c r="K38" s="29">
        <f t="shared" si="41"/>
        <v>3.4998822698375495E-2</v>
      </c>
      <c r="L38" s="257" t="s">
        <v>387</v>
      </c>
      <c r="M38" s="254">
        <f t="shared" si="7"/>
        <v>88602.28</v>
      </c>
      <c r="N38" s="255">
        <v>1703.89</v>
      </c>
      <c r="O38" s="256">
        <f t="shared" si="8"/>
        <v>44.839210526315789</v>
      </c>
      <c r="P38" s="29"/>
      <c r="Q38" s="247" t="s">
        <v>326</v>
      </c>
      <c r="R38" s="244">
        <f t="shared" si="9"/>
        <v>0</v>
      </c>
      <c r="S38" s="245"/>
      <c r="T38" s="246">
        <f t="shared" si="10"/>
        <v>0</v>
      </c>
      <c r="U38" s="29"/>
      <c r="V38" s="75" t="s">
        <v>39</v>
      </c>
      <c r="W38" s="51"/>
      <c r="X38" s="76">
        <f>(X30*$W30*X$27)</f>
        <v>0</v>
      </c>
      <c r="Y38" s="76">
        <f>+X38+(X38*Y$5)</f>
        <v>0</v>
      </c>
      <c r="Z38" s="76">
        <f t="shared" ref="Y38:AB43" si="43">+Y38+(Y38*Z$5)</f>
        <v>0</v>
      </c>
      <c r="AA38" s="76">
        <f t="shared" si="43"/>
        <v>0</v>
      </c>
      <c r="AB38" s="76">
        <f t="shared" si="43"/>
        <v>0</v>
      </c>
      <c r="AC38" s="76">
        <f t="shared" ref="AC38:AC43" si="44">+AA38+(AA38*AC$5)</f>
        <v>0</v>
      </c>
      <c r="AD38" s="76">
        <f t="shared" ref="AD38:AG43" si="45">+X38+(X38*AD$5)</f>
        <v>0</v>
      </c>
      <c r="AE38" s="76">
        <f t="shared" si="45"/>
        <v>0</v>
      </c>
      <c r="AF38" s="76">
        <f t="shared" si="45"/>
        <v>0</v>
      </c>
      <c r="AG38" s="76">
        <f t="shared" si="45"/>
        <v>0</v>
      </c>
      <c r="AH38" s="76">
        <f t="shared" ref="AH38:AH43" si="46">+AB38+(AB38*AH$5)</f>
        <v>0</v>
      </c>
    </row>
    <row r="39" spans="2:38" ht="13.8" x14ac:dyDescent="0.3">
      <c r="B39" s="19" t="s">
        <v>327</v>
      </c>
      <c r="C39" s="225">
        <f t="shared" si="40"/>
        <v>111458.88</v>
      </c>
      <c r="D39" s="235">
        <v>2143.44</v>
      </c>
      <c r="E39" s="23">
        <f t="shared" si="42"/>
        <v>56.406315789473688</v>
      </c>
      <c r="F39" s="30"/>
      <c r="G39" s="19" t="s">
        <v>327</v>
      </c>
      <c r="H39" s="225">
        <f t="shared" si="5"/>
        <v>115359.92</v>
      </c>
      <c r="I39" s="228">
        <v>2218.46</v>
      </c>
      <c r="J39" s="23">
        <f t="shared" si="6"/>
        <v>58.380526315789474</v>
      </c>
      <c r="K39" s="29">
        <f t="shared" si="41"/>
        <v>3.4999813384092811E-2</v>
      </c>
      <c r="L39" s="257" t="s">
        <v>388</v>
      </c>
      <c r="M39" s="254">
        <f t="shared" si="7"/>
        <v>92796.08</v>
      </c>
      <c r="N39" s="255">
        <v>1784.54</v>
      </c>
      <c r="O39" s="256">
        <f t="shared" si="8"/>
        <v>46.961578947368423</v>
      </c>
      <c r="P39" s="29"/>
      <c r="Q39" s="247" t="s">
        <v>327</v>
      </c>
      <c r="R39" s="244">
        <f t="shared" si="9"/>
        <v>0</v>
      </c>
      <c r="S39" s="245"/>
      <c r="T39" s="246">
        <f t="shared" si="10"/>
        <v>0</v>
      </c>
      <c r="U39" s="29"/>
      <c r="V39" s="75" t="s">
        <v>38</v>
      </c>
      <c r="W39" s="51"/>
      <c r="X39" s="76">
        <f>(X31*$W31*X$27)</f>
        <v>0</v>
      </c>
      <c r="Y39" s="76">
        <f t="shared" si="43"/>
        <v>0</v>
      </c>
      <c r="Z39" s="76">
        <f t="shared" si="43"/>
        <v>0</v>
      </c>
      <c r="AA39" s="76">
        <f t="shared" si="43"/>
        <v>0</v>
      </c>
      <c r="AB39" s="76">
        <f t="shared" si="43"/>
        <v>0</v>
      </c>
      <c r="AC39" s="76">
        <f t="shared" si="44"/>
        <v>0</v>
      </c>
      <c r="AD39" s="76">
        <f t="shared" si="45"/>
        <v>0</v>
      </c>
      <c r="AE39" s="76">
        <f t="shared" si="45"/>
        <v>0</v>
      </c>
      <c r="AF39" s="76">
        <f t="shared" si="45"/>
        <v>0</v>
      </c>
      <c r="AG39" s="76">
        <f t="shared" si="45"/>
        <v>0</v>
      </c>
      <c r="AH39" s="76">
        <f t="shared" si="46"/>
        <v>0</v>
      </c>
    </row>
    <row r="40" spans="2:38" ht="13.8" x14ac:dyDescent="0.3">
      <c r="B40" s="19" t="s">
        <v>328</v>
      </c>
      <c r="C40" s="225">
        <f t="shared" si="40"/>
        <v>109716.88</v>
      </c>
      <c r="D40" s="235">
        <v>2109.94</v>
      </c>
      <c r="E40" s="23">
        <f t="shared" si="42"/>
        <v>55.524736842105263</v>
      </c>
      <c r="F40" s="30"/>
      <c r="G40" s="19" t="s">
        <v>328</v>
      </c>
      <c r="H40" s="225">
        <f t="shared" si="5"/>
        <v>113557.08</v>
      </c>
      <c r="I40" s="228">
        <v>2183.79</v>
      </c>
      <c r="J40" s="23">
        <f t="shared" si="6"/>
        <v>57.468157894736841</v>
      </c>
      <c r="K40" s="29">
        <f t="shared" si="41"/>
        <v>3.5000995288965546E-2</v>
      </c>
      <c r="L40" s="257" t="s">
        <v>389</v>
      </c>
      <c r="M40" s="254">
        <f t="shared" si="7"/>
        <v>97411.08</v>
      </c>
      <c r="N40" s="255">
        <v>1873.29</v>
      </c>
      <c r="O40" s="256">
        <f t="shared" si="8"/>
        <v>49.297105263157896</v>
      </c>
      <c r="P40" s="29"/>
      <c r="Q40" s="247" t="s">
        <v>328</v>
      </c>
      <c r="R40" s="244">
        <f t="shared" si="9"/>
        <v>0</v>
      </c>
      <c r="S40" s="245"/>
      <c r="T40" s="246">
        <f t="shared" si="10"/>
        <v>0</v>
      </c>
      <c r="U40" s="29"/>
      <c r="V40" s="75" t="s">
        <v>40</v>
      </c>
      <c r="W40" s="51"/>
      <c r="X40" s="76">
        <f>(X32*$W32*X$27)</f>
        <v>0</v>
      </c>
      <c r="Y40" s="76">
        <f t="shared" si="43"/>
        <v>0</v>
      </c>
      <c r="Z40" s="76">
        <f t="shared" si="43"/>
        <v>0</v>
      </c>
      <c r="AA40" s="76">
        <f t="shared" si="43"/>
        <v>0</v>
      </c>
      <c r="AB40" s="76">
        <f t="shared" si="43"/>
        <v>0</v>
      </c>
      <c r="AC40" s="76">
        <f t="shared" si="44"/>
        <v>0</v>
      </c>
      <c r="AD40" s="76">
        <f t="shared" si="45"/>
        <v>0</v>
      </c>
      <c r="AE40" s="76">
        <f t="shared" si="45"/>
        <v>0</v>
      </c>
      <c r="AF40" s="76">
        <f t="shared" si="45"/>
        <v>0</v>
      </c>
      <c r="AG40" s="76">
        <f t="shared" si="45"/>
        <v>0</v>
      </c>
      <c r="AH40" s="76">
        <f t="shared" si="46"/>
        <v>0</v>
      </c>
    </row>
    <row r="41" spans="2:38" ht="13.8" x14ac:dyDescent="0.3">
      <c r="B41" s="19" t="s">
        <v>321</v>
      </c>
      <c r="C41" s="225">
        <f t="shared" si="40"/>
        <v>112354.32</v>
      </c>
      <c r="D41" s="235">
        <v>2160.66</v>
      </c>
      <c r="E41" s="23">
        <f t="shared" si="42"/>
        <v>56.859473684210521</v>
      </c>
      <c r="F41" s="30"/>
      <c r="G41" s="19" t="s">
        <v>321</v>
      </c>
      <c r="H41" s="225">
        <f t="shared" si="5"/>
        <v>116286.56000000001</v>
      </c>
      <c r="I41" s="228">
        <v>2236.2800000000002</v>
      </c>
      <c r="J41" s="23">
        <f t="shared" si="6"/>
        <v>58.84947368421053</v>
      </c>
      <c r="K41" s="29">
        <f t="shared" si="41"/>
        <v>3.499856525320983E-2</v>
      </c>
      <c r="L41" s="257" t="s">
        <v>390</v>
      </c>
      <c r="M41" s="254">
        <f t="shared" si="7"/>
        <v>101785.84</v>
      </c>
      <c r="N41" s="255">
        <v>1957.42</v>
      </c>
      <c r="O41" s="256">
        <f t="shared" si="8"/>
        <v>51.511052631578949</v>
      </c>
      <c r="P41" s="29"/>
      <c r="Q41" s="247" t="s">
        <v>321</v>
      </c>
      <c r="R41" s="244">
        <f t="shared" si="9"/>
        <v>0</v>
      </c>
      <c r="S41" s="245"/>
      <c r="T41" s="246">
        <f t="shared" si="10"/>
        <v>0</v>
      </c>
      <c r="U41" s="29"/>
      <c r="V41" s="75" t="s">
        <v>41</v>
      </c>
      <c r="W41" s="51"/>
      <c r="X41" s="76">
        <f>(X33*$W33*X$27)</f>
        <v>0</v>
      </c>
      <c r="Y41" s="76">
        <f t="shared" si="43"/>
        <v>0</v>
      </c>
      <c r="Z41" s="76">
        <f t="shared" si="43"/>
        <v>0</v>
      </c>
      <c r="AA41" s="76">
        <f t="shared" si="43"/>
        <v>0</v>
      </c>
      <c r="AB41" s="76">
        <f t="shared" si="43"/>
        <v>0</v>
      </c>
      <c r="AC41" s="76">
        <f t="shared" si="44"/>
        <v>0</v>
      </c>
      <c r="AD41" s="76">
        <f t="shared" si="45"/>
        <v>0</v>
      </c>
      <c r="AE41" s="76">
        <f t="shared" si="45"/>
        <v>0</v>
      </c>
      <c r="AF41" s="76">
        <f t="shared" si="45"/>
        <v>0</v>
      </c>
      <c r="AG41" s="76">
        <f t="shared" si="45"/>
        <v>0</v>
      </c>
      <c r="AH41" s="76">
        <f t="shared" si="46"/>
        <v>0</v>
      </c>
    </row>
    <row r="42" spans="2:38" ht="13.8" x14ac:dyDescent="0.3">
      <c r="B42" s="19" t="s">
        <v>329</v>
      </c>
      <c r="C42" s="225">
        <f t="shared" si="40"/>
        <v>113409.4</v>
      </c>
      <c r="D42" s="228">
        <v>2180.9499999999998</v>
      </c>
      <c r="E42" s="23">
        <f t="shared" si="42"/>
        <v>57.393421052631574</v>
      </c>
      <c r="G42" s="19" t="s">
        <v>329</v>
      </c>
      <c r="H42" s="225">
        <f t="shared" si="5"/>
        <v>117378.56000000001</v>
      </c>
      <c r="I42" s="228">
        <v>2257.2800000000002</v>
      </c>
      <c r="J42" s="23">
        <f t="shared" si="6"/>
        <v>59.4021052631579</v>
      </c>
      <c r="K42" s="29">
        <f t="shared" si="41"/>
        <v>3.4998509823700862E-2</v>
      </c>
      <c r="L42" s="257" t="s">
        <v>391</v>
      </c>
      <c r="M42" s="254">
        <f t="shared" si="7"/>
        <v>106180.88</v>
      </c>
      <c r="N42" s="255">
        <v>2041.94</v>
      </c>
      <c r="O42" s="256">
        <f t="shared" si="8"/>
        <v>53.735263157894735</v>
      </c>
      <c r="P42" s="29"/>
      <c r="Q42" s="247" t="s">
        <v>329</v>
      </c>
      <c r="R42" s="244">
        <f t="shared" si="9"/>
        <v>0</v>
      </c>
      <c r="S42" s="245"/>
      <c r="T42" s="246">
        <f t="shared" si="10"/>
        <v>0</v>
      </c>
      <c r="U42" s="29"/>
      <c r="V42" s="75" t="s">
        <v>42</v>
      </c>
      <c r="W42" s="51"/>
      <c r="X42" s="76">
        <f t="shared" ref="X42:X43" si="47">(X34*$W34*X$27)</f>
        <v>0</v>
      </c>
      <c r="Y42" s="76">
        <f t="shared" si="43"/>
        <v>0</v>
      </c>
      <c r="Z42" s="76">
        <f t="shared" si="43"/>
        <v>0</v>
      </c>
      <c r="AA42" s="76">
        <f t="shared" si="43"/>
        <v>0</v>
      </c>
      <c r="AB42" s="76">
        <f t="shared" si="43"/>
        <v>0</v>
      </c>
      <c r="AC42" s="76">
        <f t="shared" si="44"/>
        <v>0</v>
      </c>
      <c r="AD42" s="76">
        <f t="shared" si="45"/>
        <v>0</v>
      </c>
      <c r="AE42" s="76">
        <f t="shared" si="45"/>
        <v>0</v>
      </c>
      <c r="AF42" s="76">
        <f t="shared" si="45"/>
        <v>0</v>
      </c>
      <c r="AG42" s="76">
        <f t="shared" si="45"/>
        <v>0</v>
      </c>
      <c r="AH42" s="76">
        <f t="shared" si="46"/>
        <v>0</v>
      </c>
      <c r="AK42" s="22"/>
      <c r="AL42" s="22"/>
    </row>
    <row r="43" spans="2:38" ht="13.8" x14ac:dyDescent="0.3">
      <c r="B43" s="19" t="s">
        <v>330</v>
      </c>
      <c r="C43" s="225">
        <f t="shared" si="40"/>
        <v>0</v>
      </c>
      <c r="D43" s="228"/>
      <c r="E43" s="23">
        <f t="shared" si="42"/>
        <v>0</v>
      </c>
      <c r="G43" s="19" t="s">
        <v>330</v>
      </c>
      <c r="H43" s="225">
        <f t="shared" si="5"/>
        <v>115544.52000000002</v>
      </c>
      <c r="I43" s="228">
        <v>2222.0100000000002</v>
      </c>
      <c r="J43" s="23">
        <f t="shared" si="6"/>
        <v>58.473947368421058</v>
      </c>
      <c r="K43" s="29" t="e">
        <f t="shared" si="41"/>
        <v>#DIV/0!</v>
      </c>
      <c r="L43" s="257" t="s">
        <v>392</v>
      </c>
      <c r="M43" s="254">
        <f t="shared" si="7"/>
        <v>109385.12</v>
      </c>
      <c r="N43" s="255">
        <v>2103.56</v>
      </c>
      <c r="O43" s="256">
        <f t="shared" si="8"/>
        <v>55.356842105263155</v>
      </c>
      <c r="P43" s="29"/>
      <c r="Q43" s="247" t="s">
        <v>330</v>
      </c>
      <c r="R43" s="244">
        <f t="shared" si="9"/>
        <v>0</v>
      </c>
      <c r="S43" s="245"/>
      <c r="T43" s="246">
        <f t="shared" si="10"/>
        <v>0</v>
      </c>
      <c r="U43" s="29"/>
      <c r="V43" s="75" t="s">
        <v>43</v>
      </c>
      <c r="W43" s="51"/>
      <c r="X43" s="76">
        <f t="shared" si="47"/>
        <v>0</v>
      </c>
      <c r="Y43" s="76">
        <f t="shared" si="43"/>
        <v>0</v>
      </c>
      <c r="Z43" s="76">
        <f t="shared" si="43"/>
        <v>0</v>
      </c>
      <c r="AA43" s="76">
        <f t="shared" si="43"/>
        <v>0</v>
      </c>
      <c r="AB43" s="76">
        <f t="shared" si="43"/>
        <v>0</v>
      </c>
      <c r="AC43" s="76">
        <f t="shared" si="44"/>
        <v>0</v>
      </c>
      <c r="AD43" s="76">
        <f t="shared" si="45"/>
        <v>0</v>
      </c>
      <c r="AE43" s="76">
        <f t="shared" si="45"/>
        <v>0</v>
      </c>
      <c r="AF43" s="76">
        <f t="shared" si="45"/>
        <v>0</v>
      </c>
      <c r="AG43" s="76">
        <f t="shared" si="45"/>
        <v>0</v>
      </c>
      <c r="AH43" s="76">
        <f t="shared" si="46"/>
        <v>0</v>
      </c>
    </row>
    <row r="44" spans="2:38" ht="13.8" x14ac:dyDescent="0.3">
      <c r="B44" s="19" t="s">
        <v>331</v>
      </c>
      <c r="C44" s="225">
        <f t="shared" si="40"/>
        <v>0</v>
      </c>
      <c r="D44" s="228"/>
      <c r="E44" s="23">
        <f t="shared" si="42"/>
        <v>0</v>
      </c>
      <c r="G44" s="19" t="s">
        <v>331</v>
      </c>
      <c r="H44" s="225">
        <f t="shared" si="5"/>
        <v>118321.84</v>
      </c>
      <c r="I44" s="228">
        <v>2275.42</v>
      </c>
      <c r="J44" s="23">
        <f t="shared" si="6"/>
        <v>59.879473684210531</v>
      </c>
      <c r="K44" s="29" t="e">
        <f t="shared" si="41"/>
        <v>#DIV/0!</v>
      </c>
      <c r="L44" s="257" t="s">
        <v>393</v>
      </c>
      <c r="M44" s="254">
        <f t="shared" si="7"/>
        <v>113637.16</v>
      </c>
      <c r="N44" s="255">
        <v>2185.33</v>
      </c>
      <c r="O44" s="256">
        <f t="shared" si="8"/>
        <v>57.508684210526312</v>
      </c>
      <c r="P44" s="29"/>
      <c r="Q44" s="247" t="s">
        <v>331</v>
      </c>
      <c r="R44" s="244">
        <f t="shared" si="9"/>
        <v>0</v>
      </c>
      <c r="S44" s="245"/>
      <c r="T44" s="246">
        <f t="shared" si="10"/>
        <v>0</v>
      </c>
      <c r="U44" s="29"/>
      <c r="V44" s="77" t="s">
        <v>37</v>
      </c>
      <c r="W44" s="51"/>
      <c r="X44" s="78">
        <f t="shared" ref="X44:AH44" si="48">SUM(X38:X43)</f>
        <v>0</v>
      </c>
      <c r="Y44" s="78">
        <f t="shared" si="48"/>
        <v>0</v>
      </c>
      <c r="Z44" s="78">
        <f t="shared" si="48"/>
        <v>0</v>
      </c>
      <c r="AA44" s="78">
        <f t="shared" si="48"/>
        <v>0</v>
      </c>
      <c r="AB44" s="78">
        <f t="shared" si="48"/>
        <v>0</v>
      </c>
      <c r="AC44" s="78">
        <f t="shared" ref="AC44:AG44" si="49">SUM(AC38:AC43)</f>
        <v>0</v>
      </c>
      <c r="AD44" s="78">
        <f t="shared" si="49"/>
        <v>0</v>
      </c>
      <c r="AE44" s="78">
        <f t="shared" si="49"/>
        <v>0</v>
      </c>
      <c r="AF44" s="78">
        <f t="shared" si="49"/>
        <v>0</v>
      </c>
      <c r="AG44" s="78">
        <f t="shared" si="49"/>
        <v>0</v>
      </c>
      <c r="AH44" s="78">
        <f t="shared" si="48"/>
        <v>0</v>
      </c>
      <c r="AK44" s="22"/>
    </row>
    <row r="45" spans="2:38" ht="13.8" x14ac:dyDescent="0.3">
      <c r="B45" s="19" t="s">
        <v>332</v>
      </c>
      <c r="C45" s="225">
        <f t="shared" si="40"/>
        <v>0</v>
      </c>
      <c r="D45" s="235"/>
      <c r="E45" s="23">
        <f t="shared" si="42"/>
        <v>0</v>
      </c>
      <c r="G45" s="19" t="s">
        <v>332</v>
      </c>
      <c r="H45" s="225">
        <f t="shared" si="5"/>
        <v>119433.08</v>
      </c>
      <c r="I45" s="228">
        <v>2296.79</v>
      </c>
      <c r="J45" s="23">
        <f t="shared" si="6"/>
        <v>60.441842105263156</v>
      </c>
      <c r="K45" s="29" t="e">
        <f t="shared" si="41"/>
        <v>#DIV/0!</v>
      </c>
      <c r="L45" s="257" t="s">
        <v>394</v>
      </c>
      <c r="M45" s="254">
        <f t="shared" si="7"/>
        <v>118009.84</v>
      </c>
      <c r="N45" s="255">
        <v>2269.42</v>
      </c>
      <c r="O45" s="256">
        <f t="shared" si="8"/>
        <v>59.721578947368421</v>
      </c>
      <c r="P45" s="29"/>
      <c r="Q45" s="247" t="s">
        <v>332</v>
      </c>
      <c r="R45" s="244">
        <f t="shared" si="9"/>
        <v>0</v>
      </c>
      <c r="S45" s="245"/>
      <c r="T45" s="246">
        <f t="shared" si="10"/>
        <v>0</v>
      </c>
      <c r="U45" s="29"/>
    </row>
    <row r="46" spans="2:38" ht="13.8" x14ac:dyDescent="0.3">
      <c r="B46" s="19" t="s">
        <v>338</v>
      </c>
      <c r="C46" s="225">
        <f t="shared" si="40"/>
        <v>119080</v>
      </c>
      <c r="D46" s="235">
        <v>2290</v>
      </c>
      <c r="E46" s="23">
        <f t="shared" si="42"/>
        <v>60.263157894736842</v>
      </c>
      <c r="G46" s="19" t="s">
        <v>338</v>
      </c>
      <c r="H46" s="225">
        <f t="shared" si="5"/>
        <v>125404.76000000001</v>
      </c>
      <c r="I46" s="228">
        <v>2411.63</v>
      </c>
      <c r="J46" s="23">
        <f t="shared" si="6"/>
        <v>63.463947368421053</v>
      </c>
      <c r="K46" s="29">
        <f t="shared" si="41"/>
        <v>5.3113537117903925E-2</v>
      </c>
      <c r="L46" s="257" t="s">
        <v>395</v>
      </c>
      <c r="M46" s="254">
        <f t="shared" si="7"/>
        <v>122398.12</v>
      </c>
      <c r="N46" s="255">
        <v>2353.81</v>
      </c>
      <c r="O46" s="256">
        <f t="shared" si="8"/>
        <v>61.942368421052628</v>
      </c>
      <c r="P46" s="29"/>
      <c r="Q46" s="247" t="s">
        <v>338</v>
      </c>
      <c r="R46" s="244">
        <f t="shared" si="9"/>
        <v>0</v>
      </c>
      <c r="S46" s="245"/>
      <c r="T46" s="246">
        <f t="shared" si="10"/>
        <v>0</v>
      </c>
      <c r="U46" s="29"/>
      <c r="V46" s="31" t="s">
        <v>80</v>
      </c>
    </row>
    <row r="47" spans="2:38" ht="13.8" x14ac:dyDescent="0.3">
      <c r="B47" s="19" t="s">
        <v>339</v>
      </c>
      <c r="C47" s="225">
        <f t="shared" si="40"/>
        <v>123589.96</v>
      </c>
      <c r="D47" s="233">
        <v>2376.73</v>
      </c>
      <c r="E47" s="23">
        <f t="shared" si="42"/>
        <v>62.545526315789473</v>
      </c>
      <c r="G47" s="19" t="s">
        <v>339</v>
      </c>
      <c r="H47" s="225">
        <f t="shared" si="5"/>
        <v>130154.43999999999</v>
      </c>
      <c r="I47" s="228">
        <v>2502.9699999999998</v>
      </c>
      <c r="J47" s="23">
        <f t="shared" si="6"/>
        <v>65.867631578947368</v>
      </c>
      <c r="K47" s="29">
        <f t="shared" si="41"/>
        <v>5.3114994130591182E-2</v>
      </c>
      <c r="L47" s="257" t="s">
        <v>396</v>
      </c>
      <c r="M47" s="254">
        <f t="shared" si="7"/>
        <v>127219.04</v>
      </c>
      <c r="N47" s="255">
        <v>2446.52</v>
      </c>
      <c r="O47" s="256">
        <f t="shared" si="8"/>
        <v>64.382105263157897</v>
      </c>
      <c r="P47" s="29"/>
      <c r="Q47" s="247" t="s">
        <v>339</v>
      </c>
      <c r="R47" s="244">
        <f t="shared" si="9"/>
        <v>0</v>
      </c>
      <c r="S47" s="245"/>
      <c r="T47" s="246">
        <f t="shared" si="10"/>
        <v>0</v>
      </c>
      <c r="U47" s="29"/>
      <c r="V47" s="75" t="s">
        <v>32</v>
      </c>
      <c r="W47" s="51"/>
      <c r="X47" s="76">
        <f>+X4-X7</f>
        <v>5342.3231999999989</v>
      </c>
      <c r="Y47" s="76">
        <f t="shared" ref="Y47:AH47" si="50">+Y4-Y7</f>
        <v>5502.8928960000048</v>
      </c>
      <c r="Z47" s="76">
        <f t="shared" si="50"/>
        <v>5667.9696828800079</v>
      </c>
      <c r="AA47" s="76">
        <f t="shared" si="50"/>
        <v>5837.4287733664096</v>
      </c>
      <c r="AB47" s="76">
        <f t="shared" si="50"/>
        <v>6013.2016365674062</v>
      </c>
      <c r="AC47" s="76">
        <f t="shared" si="50"/>
        <v>6193.2776856644341</v>
      </c>
      <c r="AD47" s="76">
        <f t="shared" si="50"/>
        <v>6379.7060162343696</v>
      </c>
      <c r="AE47" s="76">
        <f t="shared" si="50"/>
        <v>6570.5971967213991</v>
      </c>
      <c r="AF47" s="76">
        <f t="shared" si="50"/>
        <v>6768.1251126230491</v>
      </c>
      <c r="AG47" s="76">
        <f t="shared" si="50"/>
        <v>6970.5288660017395</v>
      </c>
      <c r="AH47" s="76">
        <f t="shared" si="50"/>
        <v>7180.1147319817974</v>
      </c>
    </row>
    <row r="48" spans="2:38" ht="14.4" x14ac:dyDescent="0.3">
      <c r="C48" s="225">
        <f t="shared" si="40"/>
        <v>0</v>
      </c>
      <c r="D48" s="233"/>
      <c r="E48" s="23">
        <f t="shared" si="42"/>
        <v>0</v>
      </c>
      <c r="G48" s="19" t="s">
        <v>347</v>
      </c>
      <c r="H48" s="225">
        <f t="shared" si="5"/>
        <v>157797.12</v>
      </c>
      <c r="I48" s="228">
        <v>3034.56</v>
      </c>
      <c r="J48" s="23">
        <f t="shared" si="6"/>
        <v>79.856842105263155</v>
      </c>
      <c r="K48" s="29" t="e">
        <f t="shared" si="41"/>
        <v>#DIV/0!</v>
      </c>
      <c r="L48" s="253" t="s">
        <v>397</v>
      </c>
      <c r="M48" s="254">
        <f t="shared" si="7"/>
        <v>132036.84</v>
      </c>
      <c r="N48" s="255">
        <v>2539.17</v>
      </c>
      <c r="O48" s="256">
        <f t="shared" si="8"/>
        <v>66.820263157894743</v>
      </c>
      <c r="Q48" s="248" t="s">
        <v>347</v>
      </c>
      <c r="R48" s="244">
        <f t="shared" si="9"/>
        <v>0</v>
      </c>
      <c r="S48" s="245"/>
      <c r="T48" s="246">
        <f t="shared" si="10"/>
        <v>0</v>
      </c>
      <c r="U48" s="29"/>
      <c r="V48" s="75" t="s">
        <v>49</v>
      </c>
      <c r="W48" s="51"/>
      <c r="X48" s="76">
        <f t="shared" ref="X48:AH48" si="51">X4/52</f>
        <v>1335.6215999999999</v>
      </c>
      <c r="Y48" s="76">
        <f t="shared" si="51"/>
        <v>1375.6902480000001</v>
      </c>
      <c r="Z48" s="76">
        <f t="shared" si="51"/>
        <v>1416.9609554400001</v>
      </c>
      <c r="AA48" s="76">
        <f t="shared" si="51"/>
        <v>1459.4697841032003</v>
      </c>
      <c r="AB48" s="76">
        <f t="shared" si="51"/>
        <v>1503.2538776262963</v>
      </c>
      <c r="AC48" s="76">
        <f t="shared" si="51"/>
        <v>1548.3514939550853</v>
      </c>
      <c r="AD48" s="76">
        <f t="shared" si="51"/>
        <v>1594.8020387737379</v>
      </c>
      <c r="AE48" s="76">
        <f t="shared" si="51"/>
        <v>1642.6460999369499</v>
      </c>
      <c r="AF48" s="76">
        <f t="shared" si="51"/>
        <v>1691.9254829350587</v>
      </c>
      <c r="AG48" s="76">
        <f t="shared" si="51"/>
        <v>1742.6832474231103</v>
      </c>
      <c r="AH48" s="76">
        <f t="shared" si="51"/>
        <v>1794.9637448458038</v>
      </c>
    </row>
    <row r="49" spans="3:34" ht="14.4" x14ac:dyDescent="0.3">
      <c r="C49" s="225">
        <f t="shared" si="40"/>
        <v>0</v>
      </c>
      <c r="D49" s="225"/>
      <c r="E49" s="23">
        <f t="shared" si="42"/>
        <v>0</v>
      </c>
      <c r="G49" s="19" t="s">
        <v>340</v>
      </c>
      <c r="H49" s="225">
        <f t="shared" si="5"/>
        <v>112508.76000000001</v>
      </c>
      <c r="I49" s="228">
        <v>2163.63</v>
      </c>
      <c r="J49" s="23">
        <f t="shared" si="6"/>
        <v>56.937631578947368</v>
      </c>
      <c r="K49" s="29" t="e">
        <f t="shared" si="41"/>
        <v>#DIV/0!</v>
      </c>
      <c r="L49" s="253" t="s">
        <v>398</v>
      </c>
      <c r="M49" s="254">
        <f t="shared" si="7"/>
        <v>137157.80000000002</v>
      </c>
      <c r="N49" s="255">
        <v>2637.65</v>
      </c>
      <c r="O49" s="256">
        <f t="shared" si="8"/>
        <v>69.411842105263162</v>
      </c>
      <c r="Q49" s="248" t="s">
        <v>340</v>
      </c>
      <c r="R49" s="244">
        <f t="shared" si="9"/>
        <v>0</v>
      </c>
      <c r="S49" s="245"/>
      <c r="T49" s="246">
        <f t="shared" si="10"/>
        <v>0</v>
      </c>
      <c r="U49" s="29"/>
      <c r="V49" s="75" t="s">
        <v>48</v>
      </c>
      <c r="W49" s="51"/>
      <c r="X49" s="76">
        <f>IF(X48&gt;Rates!B6,Rates!B7,X47*Rates!B8)</f>
        <v>934.90655999999979</v>
      </c>
      <c r="Y49" s="76">
        <f>IF(Y48&gt;Rates!C6,Rates!C7,Y47*Rates!C8)</f>
        <v>963.00625680000076</v>
      </c>
      <c r="Z49" s="76">
        <f>IF(Z48&gt;Rates!D6,Rates!D7,Z47*Rates!D8)</f>
        <v>991.89469450400134</v>
      </c>
      <c r="AA49" s="76">
        <f>IF(AA48&gt;Rates!E6,Rates!E7,AA47*Rates!E8)</f>
        <v>1021.5500353391216</v>
      </c>
      <c r="AB49" s="76">
        <f>IF(AB48&gt;Rates!F6,Rates!F7,AB47*Rates!F8)</f>
        <v>1052.310286399296</v>
      </c>
      <c r="AC49" s="76">
        <f>IF(AC48&gt;Rates!G6,Rates!G7,AC47*Rates!G8)</f>
        <v>1083.823594991276</v>
      </c>
      <c r="AD49" s="76">
        <f>IF(AD48&gt;Rates!H6,Rates!H7,AD47*Rates!H8)</f>
        <v>1116.4485528410146</v>
      </c>
      <c r="AE49" s="76">
        <f>IF(AE48&gt;Rates!I6,Rates!I7,AE47*Rates!I8)</f>
        <v>1149.8545094262447</v>
      </c>
      <c r="AF49" s="76">
        <f>IF(AF48&gt;Rates!J6,Rates!J7,AF47*Rates!J8)</f>
        <v>1184.4218947090335</v>
      </c>
      <c r="AG49" s="76">
        <f>IF(AG48&gt;Rates!K6,Rates!K7,AG47*Rates!K8)</f>
        <v>1219.8425515503043</v>
      </c>
      <c r="AH49" s="76">
        <f>IF(AH48&gt;Rates!L6,Rates!L7,AH47*Rates!L8)</f>
        <v>1256.5200780968144</v>
      </c>
    </row>
    <row r="50" spans="3:34" ht="14.4" x14ac:dyDescent="0.3">
      <c r="C50" s="225">
        <f t="shared" si="40"/>
        <v>0</v>
      </c>
      <c r="D50" s="225"/>
      <c r="E50" s="23">
        <f t="shared" si="42"/>
        <v>0</v>
      </c>
      <c r="G50" s="19" t="s">
        <v>110</v>
      </c>
      <c r="H50" s="225">
        <f t="shared" si="5"/>
        <v>132015.52000000002</v>
      </c>
      <c r="I50" s="228">
        <v>2538.7600000000002</v>
      </c>
      <c r="J50" s="23">
        <f t="shared" si="6"/>
        <v>66.809473684210531</v>
      </c>
      <c r="K50" s="29" t="e">
        <f t="shared" si="41"/>
        <v>#DIV/0!</v>
      </c>
      <c r="L50" s="253" t="s">
        <v>399</v>
      </c>
      <c r="M50" s="254">
        <f t="shared" si="7"/>
        <v>142561.12</v>
      </c>
      <c r="N50" s="255">
        <v>2741.56</v>
      </c>
      <c r="O50" s="256">
        <f t="shared" si="8"/>
        <v>72.14631578947369</v>
      </c>
      <c r="Q50" s="248" t="s">
        <v>110</v>
      </c>
      <c r="R50" s="244">
        <f t="shared" si="9"/>
        <v>0</v>
      </c>
      <c r="S50" s="245"/>
      <c r="T50" s="246">
        <f t="shared" si="10"/>
        <v>0</v>
      </c>
      <c r="Y50" s="38">
        <f>(Y49-X49)/X49</f>
        <v>3.005615534455227E-2</v>
      </c>
      <c r="Z50" s="38">
        <f>(Z49-Y49)/Y49</f>
        <v>2.9998182774008907E-2</v>
      </c>
      <c r="AA50" s="38">
        <f t="shared" ref="AA50:AH50" si="52">(AA49-Z49)/Z49</f>
        <v>2.9897670588861686E-2</v>
      </c>
      <c r="AB50" s="38">
        <f t="shared" si="52"/>
        <v>3.011135039505243E-2</v>
      </c>
      <c r="AC50" s="38">
        <f t="shared" si="52"/>
        <v>2.9946783756917766E-2</v>
      </c>
      <c r="AD50" s="38">
        <f t="shared" si="52"/>
        <v>3.0101723196016256E-2</v>
      </c>
      <c r="AE50" s="38">
        <f t="shared" si="52"/>
        <v>2.9921626482673418E-2</v>
      </c>
      <c r="AF50" s="38">
        <f t="shared" si="52"/>
        <v>3.0062399198692757E-2</v>
      </c>
      <c r="AG50" s="38">
        <f t="shared" si="52"/>
        <v>2.9905439100289737E-2</v>
      </c>
      <c r="AH50" s="38">
        <f t="shared" si="52"/>
        <v>3.0067426734619495E-2</v>
      </c>
    </row>
    <row r="51" spans="3:34" ht="14.4" x14ac:dyDescent="0.3">
      <c r="C51" s="225">
        <f t="shared" si="40"/>
        <v>0</v>
      </c>
      <c r="D51" s="225"/>
      <c r="E51" s="23">
        <f t="shared" si="42"/>
        <v>0</v>
      </c>
      <c r="G51" s="19" t="s">
        <v>111</v>
      </c>
      <c r="H51" s="225">
        <f t="shared" si="5"/>
        <v>133285.35999999999</v>
      </c>
      <c r="I51" s="228">
        <v>2563.1799999999998</v>
      </c>
      <c r="J51" s="23">
        <f t="shared" si="6"/>
        <v>67.45210526315789</v>
      </c>
      <c r="K51" s="29" t="e">
        <f t="shared" si="41"/>
        <v>#DIV/0!</v>
      </c>
      <c r="L51" s="253" t="s">
        <v>400</v>
      </c>
      <c r="M51" s="254">
        <f t="shared" si="7"/>
        <v>121288.96000000001</v>
      </c>
      <c r="N51" s="255">
        <v>2332.48</v>
      </c>
      <c r="O51" s="256">
        <f t="shared" si="8"/>
        <v>61.381052631578946</v>
      </c>
      <c r="Q51" s="248" t="s">
        <v>111</v>
      </c>
      <c r="R51" s="244">
        <f t="shared" si="9"/>
        <v>0</v>
      </c>
      <c r="S51" s="245"/>
      <c r="T51" s="246">
        <f t="shared" si="10"/>
        <v>0</v>
      </c>
    </row>
    <row r="52" spans="3:34" ht="14.4" x14ac:dyDescent="0.3">
      <c r="C52" s="225">
        <f t="shared" si="40"/>
        <v>0</v>
      </c>
      <c r="D52" s="225"/>
      <c r="E52" s="23">
        <f t="shared" si="42"/>
        <v>0</v>
      </c>
      <c r="G52" s="19" t="s">
        <v>112</v>
      </c>
      <c r="H52" s="225">
        <f t="shared" si="5"/>
        <v>117126.88</v>
      </c>
      <c r="I52" s="228">
        <v>2252.44</v>
      </c>
      <c r="J52" s="23">
        <f t="shared" si="6"/>
        <v>59.274736842105263</v>
      </c>
      <c r="K52" s="29" t="e">
        <f t="shared" si="41"/>
        <v>#DIV/0!</v>
      </c>
      <c r="L52" s="253" t="s">
        <v>401</v>
      </c>
      <c r="M52" s="254">
        <f t="shared" si="7"/>
        <v>124140.64000000001</v>
      </c>
      <c r="N52" s="255">
        <v>2387.3200000000002</v>
      </c>
      <c r="O52" s="256">
        <f t="shared" si="8"/>
        <v>62.824210526315795</v>
      </c>
      <c r="Q52" s="248" t="s">
        <v>112</v>
      </c>
      <c r="R52" s="244">
        <f t="shared" si="9"/>
        <v>0</v>
      </c>
      <c r="S52" s="245"/>
      <c r="T52" s="246">
        <f t="shared" si="10"/>
        <v>0</v>
      </c>
    </row>
    <row r="53" spans="3:34" ht="14.4" x14ac:dyDescent="0.3">
      <c r="C53" s="225"/>
      <c r="D53" s="225"/>
      <c r="E53" s="23"/>
      <c r="G53" s="19" t="s">
        <v>113</v>
      </c>
      <c r="H53" s="225">
        <f t="shared" si="5"/>
        <v>120014.43999999999</v>
      </c>
      <c r="I53" s="228">
        <v>2307.9699999999998</v>
      </c>
      <c r="J53" s="23">
        <f t="shared" si="6"/>
        <v>60.736052631578943</v>
      </c>
      <c r="K53" s="29" t="e">
        <f t="shared" si="41"/>
        <v>#DIV/0!</v>
      </c>
      <c r="L53" s="253" t="s">
        <v>402</v>
      </c>
      <c r="M53" s="254">
        <f t="shared" si="7"/>
        <v>125571.68000000001</v>
      </c>
      <c r="N53" s="255">
        <v>2414.84</v>
      </c>
      <c r="O53" s="256">
        <f t="shared" si="8"/>
        <v>63.548421052631582</v>
      </c>
      <c r="Q53" s="248" t="s">
        <v>113</v>
      </c>
      <c r="R53" s="244">
        <f t="shared" si="9"/>
        <v>0</v>
      </c>
      <c r="S53" s="245"/>
      <c r="T53" s="246">
        <f t="shared" si="10"/>
        <v>0</v>
      </c>
    </row>
    <row r="54" spans="3:34" ht="14.4" x14ac:dyDescent="0.3">
      <c r="C54" s="225"/>
      <c r="D54" s="225"/>
      <c r="E54" s="23"/>
      <c r="G54" s="19" t="s">
        <v>114</v>
      </c>
      <c r="H54" s="225">
        <f t="shared" si="5"/>
        <v>121168.31999999999</v>
      </c>
      <c r="I54" s="228">
        <v>2330.16</v>
      </c>
      <c r="J54" s="23">
        <f t="shared" si="6"/>
        <v>61.319999999999993</v>
      </c>
      <c r="K54" s="29" t="e">
        <f t="shared" si="41"/>
        <v>#DIV/0!</v>
      </c>
      <c r="L54" s="253" t="s">
        <v>403</v>
      </c>
      <c r="M54" s="254">
        <f t="shared" si="7"/>
        <v>104797.16</v>
      </c>
      <c r="N54" s="255">
        <v>2015.33</v>
      </c>
      <c r="O54" s="256">
        <f t="shared" si="8"/>
        <v>53.034999999999997</v>
      </c>
      <c r="Q54" s="248" t="s">
        <v>114</v>
      </c>
      <c r="R54" s="244">
        <f t="shared" si="9"/>
        <v>0</v>
      </c>
      <c r="S54" s="245"/>
      <c r="T54" s="246">
        <f t="shared" si="10"/>
        <v>0</v>
      </c>
    </row>
    <row r="55" spans="3:34" ht="14.4" x14ac:dyDescent="0.3">
      <c r="C55" s="225"/>
      <c r="D55" s="225"/>
      <c r="E55" s="23"/>
      <c r="G55" s="19" t="s">
        <v>341</v>
      </c>
      <c r="H55" s="225">
        <f t="shared" si="5"/>
        <v>115463.92</v>
      </c>
      <c r="I55" s="228">
        <v>2220.46</v>
      </c>
      <c r="J55" s="23">
        <f t="shared" si="6"/>
        <v>58.433157894736844</v>
      </c>
      <c r="K55" s="29" t="e">
        <f t="shared" si="41"/>
        <v>#DIV/0!</v>
      </c>
      <c r="L55" s="253" t="s">
        <v>404</v>
      </c>
      <c r="M55" s="254">
        <f t="shared" si="7"/>
        <v>110262.35999999999</v>
      </c>
      <c r="N55" s="255">
        <v>2120.4299999999998</v>
      </c>
      <c r="O55" s="256">
        <f t="shared" si="8"/>
        <v>55.800789473684205</v>
      </c>
      <c r="Q55" s="248" t="s">
        <v>341</v>
      </c>
      <c r="R55" s="244">
        <f t="shared" si="9"/>
        <v>0</v>
      </c>
      <c r="S55" s="245"/>
      <c r="T55" s="246">
        <f t="shared" si="10"/>
        <v>0</v>
      </c>
    </row>
    <row r="56" spans="3:34" ht="14.4" x14ac:dyDescent="0.3">
      <c r="C56" s="225"/>
      <c r="D56" s="225"/>
      <c r="E56" s="23"/>
      <c r="G56" s="19" t="s">
        <v>115</v>
      </c>
      <c r="H56" s="225">
        <f t="shared" si="5"/>
        <v>135696.6</v>
      </c>
      <c r="I56" s="228">
        <v>2609.5500000000002</v>
      </c>
      <c r="J56" s="23">
        <f t="shared" si="6"/>
        <v>68.672368421052639</v>
      </c>
      <c r="K56" s="29" t="e">
        <f t="shared" si="41"/>
        <v>#DIV/0!</v>
      </c>
      <c r="L56" s="253" t="s">
        <v>405</v>
      </c>
      <c r="M56" s="254">
        <f t="shared" si="7"/>
        <v>112192.08</v>
      </c>
      <c r="N56" s="255">
        <v>2157.54</v>
      </c>
      <c r="O56" s="256">
        <f t="shared" si="8"/>
        <v>56.777368421052628</v>
      </c>
      <c r="Q56" s="248" t="s">
        <v>115</v>
      </c>
      <c r="R56" s="244">
        <f t="shared" si="9"/>
        <v>0</v>
      </c>
      <c r="S56" s="245"/>
      <c r="T56" s="246">
        <f t="shared" si="10"/>
        <v>0</v>
      </c>
    </row>
    <row r="57" spans="3:34" ht="14.4" x14ac:dyDescent="0.3">
      <c r="C57" s="225"/>
      <c r="D57" s="225"/>
      <c r="E57" s="23"/>
      <c r="G57" s="19" t="s">
        <v>116</v>
      </c>
      <c r="H57" s="225">
        <f t="shared" si="5"/>
        <v>136970.6</v>
      </c>
      <c r="I57" s="228">
        <v>2634.05</v>
      </c>
      <c r="J57" s="23">
        <f t="shared" si="6"/>
        <v>69.317105263157899</v>
      </c>
      <c r="K57" s="29" t="e">
        <f t="shared" si="41"/>
        <v>#DIV/0!</v>
      </c>
      <c r="L57" s="253" t="s">
        <v>406</v>
      </c>
      <c r="M57" s="254">
        <f t="shared" si="7"/>
        <v>114155.6</v>
      </c>
      <c r="N57" s="255">
        <v>2195.3000000000002</v>
      </c>
      <c r="O57" s="256">
        <f t="shared" si="8"/>
        <v>57.771052631578954</v>
      </c>
      <c r="Q57" s="248" t="s">
        <v>116</v>
      </c>
      <c r="R57" s="244">
        <f t="shared" si="9"/>
        <v>0</v>
      </c>
      <c r="S57" s="245"/>
      <c r="T57" s="246">
        <f t="shared" si="10"/>
        <v>0</v>
      </c>
    </row>
    <row r="58" spans="3:34" ht="14.4" x14ac:dyDescent="0.3">
      <c r="C58" s="225"/>
      <c r="D58" s="225"/>
      <c r="E58" s="23"/>
      <c r="G58" s="19" t="s">
        <v>117</v>
      </c>
      <c r="H58" s="225">
        <f t="shared" si="5"/>
        <v>120082.04</v>
      </c>
      <c r="I58" s="228">
        <v>2309.27</v>
      </c>
      <c r="J58" s="23">
        <f t="shared" si="6"/>
        <v>60.770263157894739</v>
      </c>
      <c r="K58" s="29" t="e">
        <f t="shared" si="41"/>
        <v>#DIV/0!</v>
      </c>
      <c r="L58" s="253" t="s">
        <v>407</v>
      </c>
      <c r="M58" s="254">
        <f t="shared" si="7"/>
        <v>115775.92</v>
      </c>
      <c r="N58" s="255">
        <v>2226.46</v>
      </c>
      <c r="O58" s="256">
        <f t="shared" si="8"/>
        <v>58.591052631578947</v>
      </c>
      <c r="Q58" s="248" t="s">
        <v>117</v>
      </c>
      <c r="R58" s="244">
        <f t="shared" si="9"/>
        <v>0</v>
      </c>
      <c r="S58" s="245"/>
      <c r="T58" s="246">
        <f t="shared" si="10"/>
        <v>0</v>
      </c>
    </row>
    <row r="59" spans="3:34" ht="14.4" x14ac:dyDescent="0.3">
      <c r="C59" s="225"/>
      <c r="D59" s="225"/>
      <c r="E59" s="23"/>
      <c r="G59" s="19" t="s">
        <v>118</v>
      </c>
      <c r="H59" s="225">
        <f t="shared" si="5"/>
        <v>122969.08</v>
      </c>
      <c r="I59" s="228">
        <v>2364.79</v>
      </c>
      <c r="J59" s="23">
        <f t="shared" si="6"/>
        <v>62.231315789473683</v>
      </c>
      <c r="K59" s="29" t="e">
        <f t="shared" si="41"/>
        <v>#DIV/0!</v>
      </c>
      <c r="L59" s="253" t="s">
        <v>408</v>
      </c>
      <c r="M59" s="254">
        <f t="shared" si="7"/>
        <v>118222.52000000002</v>
      </c>
      <c r="N59" s="255">
        <v>2273.5100000000002</v>
      </c>
      <c r="O59" s="256">
        <f t="shared" si="8"/>
        <v>59.829210526315798</v>
      </c>
      <c r="Q59" s="248" t="s">
        <v>118</v>
      </c>
      <c r="R59" s="244">
        <f t="shared" si="9"/>
        <v>0</v>
      </c>
      <c r="S59" s="245"/>
      <c r="T59" s="246">
        <f t="shared" si="10"/>
        <v>0</v>
      </c>
    </row>
    <row r="60" spans="3:34" ht="14.4" x14ac:dyDescent="0.3">
      <c r="C60" s="225"/>
      <c r="D60" s="225"/>
      <c r="E60" s="23"/>
      <c r="G60" s="19" t="s">
        <v>119</v>
      </c>
      <c r="H60" s="225">
        <f t="shared" si="5"/>
        <v>124123.47999999998</v>
      </c>
      <c r="I60" s="228">
        <v>2386.9899999999998</v>
      </c>
      <c r="J60" s="23">
        <f t="shared" si="6"/>
        <v>62.815526315789469</v>
      </c>
      <c r="K60" s="29" t="e">
        <f t="shared" si="41"/>
        <v>#DIV/0!</v>
      </c>
      <c r="L60" s="253" t="s">
        <v>409</v>
      </c>
      <c r="M60" s="254">
        <f t="shared" si="7"/>
        <v>119863.64000000001</v>
      </c>
      <c r="N60" s="255">
        <v>2305.0700000000002</v>
      </c>
      <c r="O60" s="256">
        <f t="shared" si="8"/>
        <v>60.659736842105268</v>
      </c>
      <c r="Q60" s="248" t="s">
        <v>119</v>
      </c>
      <c r="R60" s="244">
        <f t="shared" si="9"/>
        <v>0</v>
      </c>
      <c r="S60" s="245"/>
      <c r="T60" s="246">
        <f t="shared" si="10"/>
        <v>0</v>
      </c>
    </row>
    <row r="61" spans="3:34" ht="14.4" x14ac:dyDescent="0.3">
      <c r="C61" s="225"/>
      <c r="D61" s="225"/>
      <c r="E61" s="23"/>
      <c r="G61" s="19" t="s">
        <v>342</v>
      </c>
      <c r="H61" s="225">
        <f t="shared" si="5"/>
        <v>137633.07999999999</v>
      </c>
      <c r="I61" s="228">
        <v>2646.79</v>
      </c>
      <c r="J61" s="23">
        <f t="shared" si="6"/>
        <v>69.652368421052628</v>
      </c>
      <c r="K61" s="29" t="e">
        <f t="shared" si="41"/>
        <v>#DIV/0!</v>
      </c>
      <c r="L61" s="253" t="s">
        <v>410</v>
      </c>
      <c r="M61" s="254">
        <f t="shared" si="7"/>
        <v>115602.76000000001</v>
      </c>
      <c r="N61" s="255">
        <v>2223.13</v>
      </c>
      <c r="O61" s="256">
        <f t="shared" si="8"/>
        <v>58.50342105263158</v>
      </c>
      <c r="Q61" s="248" t="s">
        <v>342</v>
      </c>
      <c r="R61" s="244">
        <f t="shared" si="9"/>
        <v>0</v>
      </c>
      <c r="S61" s="245"/>
      <c r="T61" s="246">
        <f t="shared" si="10"/>
        <v>0</v>
      </c>
    </row>
    <row r="62" spans="3:34" ht="14.4" x14ac:dyDescent="0.3">
      <c r="C62" s="225"/>
      <c r="D62" s="225"/>
      <c r="E62" s="23"/>
      <c r="G62" s="19" t="s">
        <v>343</v>
      </c>
      <c r="H62" s="225">
        <f t="shared" si="5"/>
        <v>138925.28</v>
      </c>
      <c r="I62" s="228">
        <v>2671.64</v>
      </c>
      <c r="J62" s="23">
        <f t="shared" si="6"/>
        <v>70.306315789473686</v>
      </c>
      <c r="K62" s="29" t="e">
        <f t="shared" si="41"/>
        <v>#DIV/0!</v>
      </c>
      <c r="L62" s="253" t="s">
        <v>411</v>
      </c>
      <c r="M62" s="254">
        <f t="shared" si="7"/>
        <v>118639.03999999999</v>
      </c>
      <c r="N62" s="255">
        <v>2281.52</v>
      </c>
      <c r="O62" s="256">
        <f t="shared" si="8"/>
        <v>60.04</v>
      </c>
      <c r="Q62" s="248" t="s">
        <v>343</v>
      </c>
      <c r="R62" s="244">
        <f t="shared" si="9"/>
        <v>0</v>
      </c>
      <c r="S62" s="245"/>
      <c r="T62" s="246">
        <f t="shared" si="10"/>
        <v>0</v>
      </c>
    </row>
    <row r="63" spans="3:34" ht="14.4" x14ac:dyDescent="0.3">
      <c r="C63" s="225"/>
      <c r="D63" s="225"/>
      <c r="E63" s="23"/>
      <c r="G63" s="19" t="s">
        <v>344</v>
      </c>
      <c r="H63" s="225">
        <f t="shared" si="5"/>
        <v>122183.88</v>
      </c>
      <c r="I63" s="228">
        <v>2349.69</v>
      </c>
      <c r="J63" s="23">
        <f t="shared" si="6"/>
        <v>61.833947368421057</v>
      </c>
      <c r="K63" s="29" t="e">
        <f t="shared" si="41"/>
        <v>#DIV/0!</v>
      </c>
      <c r="L63" s="253" t="s">
        <v>412</v>
      </c>
      <c r="M63" s="254">
        <f t="shared" si="7"/>
        <v>120715.4</v>
      </c>
      <c r="N63" s="255">
        <v>2321.4499999999998</v>
      </c>
      <c r="O63" s="256">
        <f t="shared" si="8"/>
        <v>61.090789473684204</v>
      </c>
      <c r="Q63" s="248" t="s">
        <v>344</v>
      </c>
      <c r="R63" s="244">
        <f t="shared" si="9"/>
        <v>0</v>
      </c>
      <c r="S63" s="245"/>
      <c r="T63" s="246">
        <f t="shared" si="10"/>
        <v>0</v>
      </c>
    </row>
    <row r="64" spans="3:34" ht="14.4" x14ac:dyDescent="0.3">
      <c r="C64" s="225"/>
      <c r="D64" s="225"/>
      <c r="E64" s="23"/>
      <c r="G64" s="19" t="s">
        <v>345</v>
      </c>
      <c r="H64" s="225">
        <f t="shared" si="5"/>
        <v>125120.84</v>
      </c>
      <c r="I64" s="228">
        <v>2406.17</v>
      </c>
      <c r="J64" s="23">
        <f t="shared" si="6"/>
        <v>63.320263157894736</v>
      </c>
      <c r="K64" s="29" t="e">
        <f t="shared" si="41"/>
        <v>#DIV/0!</v>
      </c>
      <c r="L64" s="253" t="s">
        <v>413</v>
      </c>
      <c r="M64" s="254">
        <f t="shared" si="7"/>
        <v>122827.64000000001</v>
      </c>
      <c r="N64" s="255">
        <v>2362.0700000000002</v>
      </c>
      <c r="O64" s="256">
        <f t="shared" si="8"/>
        <v>62.159736842105268</v>
      </c>
      <c r="Q64" s="248" t="s">
        <v>345</v>
      </c>
      <c r="R64" s="244">
        <f t="shared" si="9"/>
        <v>0</v>
      </c>
      <c r="S64" s="245"/>
      <c r="T64" s="246">
        <f t="shared" si="10"/>
        <v>0</v>
      </c>
    </row>
    <row r="65" spans="3:20" ht="14.4" x14ac:dyDescent="0.3">
      <c r="C65" s="225"/>
      <c r="D65" s="225"/>
      <c r="E65" s="23"/>
      <c r="G65" s="19" t="s">
        <v>346</v>
      </c>
      <c r="H65" s="225">
        <f t="shared" si="5"/>
        <v>126295.52000000002</v>
      </c>
      <c r="I65" s="228">
        <v>2428.7600000000002</v>
      </c>
      <c r="J65" s="23">
        <f t="shared" si="6"/>
        <v>63.91473684210527</v>
      </c>
      <c r="K65" s="29" t="e">
        <f t="shared" si="41"/>
        <v>#DIV/0!</v>
      </c>
      <c r="L65" s="253" t="s">
        <v>414</v>
      </c>
      <c r="M65" s="254">
        <f t="shared" si="7"/>
        <v>127162.88</v>
      </c>
      <c r="N65" s="255">
        <v>2445.44</v>
      </c>
      <c r="O65" s="256">
        <f t="shared" si="8"/>
        <v>64.35368421052631</v>
      </c>
      <c r="Q65" s="248" t="s">
        <v>346</v>
      </c>
      <c r="R65" s="244">
        <f t="shared" si="9"/>
        <v>0</v>
      </c>
      <c r="S65" s="245"/>
      <c r="T65" s="246">
        <f t="shared" si="10"/>
        <v>0</v>
      </c>
    </row>
    <row r="66" spans="3:20" ht="13.8" x14ac:dyDescent="0.3">
      <c r="C66" s="225"/>
      <c r="D66" s="225"/>
      <c r="E66" s="23"/>
      <c r="F66" s="23"/>
      <c r="G66" s="23"/>
      <c r="H66" s="23"/>
      <c r="I66" s="23"/>
      <c r="J66" s="23"/>
      <c r="K66" s="23"/>
      <c r="L66" s="253" t="s">
        <v>415</v>
      </c>
      <c r="M66" s="254">
        <f t="shared" si="7"/>
        <v>130503.35999999999</v>
      </c>
      <c r="N66" s="255">
        <v>2509.6799999999998</v>
      </c>
      <c r="O66" s="256">
        <f t="shared" si="8"/>
        <v>66.04421052631578</v>
      </c>
      <c r="P66" s="23"/>
      <c r="Q66" s="246"/>
      <c r="R66" s="246"/>
      <c r="S66" s="246"/>
      <c r="T66" s="246">
        <f t="shared" si="10"/>
        <v>0</v>
      </c>
    </row>
    <row r="67" spans="3:20" ht="13.8" x14ac:dyDescent="0.3">
      <c r="D67" s="205" t="s">
        <v>71</v>
      </c>
      <c r="I67" s="205" t="s">
        <v>71</v>
      </c>
      <c r="L67" s="253" t="s">
        <v>416</v>
      </c>
      <c r="M67" s="254">
        <f t="shared" si="7"/>
        <v>133571.35999999999</v>
      </c>
      <c r="N67" s="255">
        <v>2568.6799999999998</v>
      </c>
      <c r="O67" s="256">
        <f t="shared" si="8"/>
        <v>67.59684210526315</v>
      </c>
      <c r="R67" s="244">
        <f t="shared" si="9"/>
        <v>0</v>
      </c>
      <c r="S67" s="249"/>
      <c r="T67" s="246">
        <f t="shared" si="10"/>
        <v>0</v>
      </c>
    </row>
    <row r="68" spans="3:20" ht="13.8" x14ac:dyDescent="0.3">
      <c r="D68" s="203" t="s">
        <v>284</v>
      </c>
      <c r="I68" s="203" t="s">
        <v>284</v>
      </c>
      <c r="L68" s="253" t="s">
        <v>417</v>
      </c>
      <c r="M68" s="254">
        <f t="shared" si="7"/>
        <v>135110.56</v>
      </c>
      <c r="N68" s="255">
        <v>2598.2800000000002</v>
      </c>
      <c r="O68" s="256">
        <f t="shared" si="8"/>
        <v>68.375789473684222</v>
      </c>
      <c r="R68" s="244">
        <f t="shared" si="9"/>
        <v>0</v>
      </c>
      <c r="S68" s="249"/>
      <c r="T68" s="246">
        <f t="shared" si="10"/>
        <v>0</v>
      </c>
    </row>
    <row r="69" spans="3:20" ht="13.8" x14ac:dyDescent="0.3">
      <c r="D69" s="203" t="s">
        <v>318</v>
      </c>
      <c r="I69" s="203" t="s">
        <v>318</v>
      </c>
      <c r="L69" s="253" t="s">
        <v>418</v>
      </c>
      <c r="M69" s="254">
        <f t="shared" ref="M69:M123" si="53">N69*52</f>
        <v>0</v>
      </c>
      <c r="N69" s="255">
        <v>0</v>
      </c>
      <c r="O69" s="256">
        <f t="shared" ref="O69:O123" si="54">N69/38</f>
        <v>0</v>
      </c>
      <c r="R69" s="244">
        <f t="shared" ref="R69:R76" si="55">S69*52</f>
        <v>0</v>
      </c>
      <c r="S69" s="249"/>
      <c r="T69" s="246">
        <f t="shared" ref="T69:T76" si="56">S69/38</f>
        <v>0</v>
      </c>
    </row>
    <row r="70" spans="3:20" ht="13.8" x14ac:dyDescent="0.3">
      <c r="D70" s="203" t="s">
        <v>285</v>
      </c>
      <c r="I70" s="203" t="s">
        <v>285</v>
      </c>
      <c r="L70" s="253" t="s">
        <v>419</v>
      </c>
      <c r="M70" s="254">
        <f t="shared" si="53"/>
        <v>93893.28</v>
      </c>
      <c r="N70" s="255">
        <v>1805.64</v>
      </c>
      <c r="O70" s="256">
        <f t="shared" si="54"/>
        <v>47.516842105263159</v>
      </c>
      <c r="R70" s="244">
        <f t="shared" si="55"/>
        <v>0</v>
      </c>
      <c r="S70" s="249"/>
      <c r="T70" s="246">
        <f t="shared" si="56"/>
        <v>0</v>
      </c>
    </row>
    <row r="71" spans="3:20" ht="13.8" x14ac:dyDescent="0.3">
      <c r="D71" s="203" t="s">
        <v>286</v>
      </c>
      <c r="I71" s="203" t="s">
        <v>286</v>
      </c>
      <c r="L71" s="253" t="s">
        <v>420</v>
      </c>
      <c r="M71" s="254">
        <f t="shared" si="53"/>
        <v>120716.96</v>
      </c>
      <c r="N71" s="255">
        <v>2321.48</v>
      </c>
      <c r="O71" s="256">
        <f t="shared" si="54"/>
        <v>61.091578947368419</v>
      </c>
      <c r="R71" s="244">
        <f t="shared" si="55"/>
        <v>0</v>
      </c>
      <c r="S71" s="249"/>
      <c r="T71" s="246">
        <f t="shared" si="56"/>
        <v>0</v>
      </c>
    </row>
    <row r="72" spans="3:20" ht="13.8" x14ac:dyDescent="0.3">
      <c r="D72" s="203" t="s">
        <v>287</v>
      </c>
      <c r="I72" s="203" t="s">
        <v>287</v>
      </c>
      <c r="L72" s="253" t="s">
        <v>421</v>
      </c>
      <c r="M72" s="254">
        <f t="shared" si="53"/>
        <v>56268.159999999996</v>
      </c>
      <c r="N72" s="255">
        <v>1082.08</v>
      </c>
      <c r="O72" s="256">
        <f t="shared" si="54"/>
        <v>28.475789473684209</v>
      </c>
      <c r="R72" s="244">
        <f t="shared" si="55"/>
        <v>0</v>
      </c>
      <c r="S72" s="250"/>
      <c r="T72" s="246">
        <f t="shared" si="56"/>
        <v>0</v>
      </c>
    </row>
    <row r="73" spans="3:20" ht="13.8" x14ac:dyDescent="0.3">
      <c r="D73" s="203" t="s">
        <v>288</v>
      </c>
      <c r="I73" s="203" t="s">
        <v>288</v>
      </c>
      <c r="L73" s="253" t="s">
        <v>422</v>
      </c>
      <c r="M73" s="254">
        <f t="shared" si="53"/>
        <v>64306.320000000007</v>
      </c>
      <c r="N73" s="255">
        <v>1236.6600000000001</v>
      </c>
      <c r="O73" s="256">
        <f t="shared" si="54"/>
        <v>32.543684210526315</v>
      </c>
      <c r="R73" s="244">
        <f t="shared" si="55"/>
        <v>0</v>
      </c>
      <c r="T73" s="246">
        <f t="shared" si="56"/>
        <v>0</v>
      </c>
    </row>
    <row r="74" spans="3:20" ht="13.8" x14ac:dyDescent="0.3">
      <c r="D74" s="204">
        <v>45036</v>
      </c>
      <c r="I74" s="204">
        <v>45036</v>
      </c>
      <c r="L74" s="253" t="s">
        <v>423</v>
      </c>
      <c r="M74" s="254">
        <f t="shared" si="53"/>
        <v>37996.400000000001</v>
      </c>
      <c r="N74" s="255">
        <v>730.7</v>
      </c>
      <c r="O74" s="256">
        <f t="shared" si="54"/>
        <v>19.228947368421053</v>
      </c>
      <c r="R74" s="244">
        <f t="shared" si="55"/>
        <v>0</v>
      </c>
      <c r="T74" s="246">
        <f t="shared" si="56"/>
        <v>0</v>
      </c>
    </row>
    <row r="75" spans="3:20" ht="13.8" x14ac:dyDescent="0.3">
      <c r="D75" s="227" t="s">
        <v>319</v>
      </c>
      <c r="I75" s="227" t="s">
        <v>319</v>
      </c>
      <c r="L75" s="253" t="s">
        <v>424</v>
      </c>
      <c r="M75" s="254">
        <f t="shared" si="53"/>
        <v>44905.119999999995</v>
      </c>
      <c r="N75" s="255">
        <v>863.56</v>
      </c>
      <c r="O75" s="256">
        <f t="shared" si="54"/>
        <v>22.725263157894734</v>
      </c>
      <c r="R75" s="244">
        <f t="shared" si="55"/>
        <v>0</v>
      </c>
      <c r="T75" s="246">
        <f t="shared" si="56"/>
        <v>0</v>
      </c>
    </row>
    <row r="76" spans="3:20" ht="13.8" x14ac:dyDescent="0.3">
      <c r="D76" s="227" t="s">
        <v>320</v>
      </c>
      <c r="I76" s="227" t="s">
        <v>320</v>
      </c>
      <c r="L76" s="253" t="s">
        <v>425</v>
      </c>
      <c r="M76" s="254">
        <f t="shared" si="53"/>
        <v>51813.32</v>
      </c>
      <c r="N76" s="255">
        <v>996.41</v>
      </c>
      <c r="O76" s="256">
        <f t="shared" si="54"/>
        <v>26.221315789473682</v>
      </c>
      <c r="R76" s="244">
        <f t="shared" si="55"/>
        <v>0</v>
      </c>
      <c r="T76" s="246">
        <f t="shared" si="56"/>
        <v>0</v>
      </c>
    </row>
    <row r="77" spans="3:20" ht="13.8" x14ac:dyDescent="0.3">
      <c r="D77" s="227"/>
      <c r="I77" s="227"/>
      <c r="L77" s="253" t="s">
        <v>426</v>
      </c>
      <c r="M77" s="254">
        <f t="shared" si="53"/>
        <v>58722.04</v>
      </c>
      <c r="N77" s="255">
        <v>1129.27</v>
      </c>
      <c r="O77" s="256">
        <f t="shared" si="54"/>
        <v>29.717631578947369</v>
      </c>
    </row>
    <row r="78" spans="3:20" ht="13.8" x14ac:dyDescent="0.3">
      <c r="L78" s="253" t="s">
        <v>427</v>
      </c>
      <c r="M78" s="254">
        <f t="shared" si="53"/>
        <v>65630.239999999991</v>
      </c>
      <c r="N78" s="255">
        <v>1262.1199999999999</v>
      </c>
      <c r="O78" s="256">
        <f t="shared" si="54"/>
        <v>33.21368421052631</v>
      </c>
    </row>
    <row r="79" spans="3:20" ht="13.8" x14ac:dyDescent="0.3">
      <c r="L79" s="253" t="s">
        <v>428</v>
      </c>
      <c r="M79" s="254">
        <f t="shared" si="53"/>
        <v>38819.56</v>
      </c>
      <c r="N79" s="255">
        <v>746.53</v>
      </c>
      <c r="O79" s="256">
        <f t="shared" si="54"/>
        <v>19.645526315789471</v>
      </c>
    </row>
    <row r="80" spans="3:20" ht="13.8" x14ac:dyDescent="0.3">
      <c r="D80" s="2" t="s">
        <v>333</v>
      </c>
      <c r="L80" s="253" t="s">
        <v>429</v>
      </c>
      <c r="M80" s="254">
        <f t="shared" si="53"/>
        <v>45877.52</v>
      </c>
      <c r="N80" s="255">
        <v>882.26</v>
      </c>
      <c r="O80" s="256">
        <f t="shared" si="54"/>
        <v>23.21736842105263</v>
      </c>
    </row>
    <row r="81" spans="2:15" ht="13.8" x14ac:dyDescent="0.3">
      <c r="D81" s="237" t="s">
        <v>334</v>
      </c>
      <c r="E81" s="236"/>
      <c r="F81" s="236"/>
      <c r="L81" s="253" t="s">
        <v>430</v>
      </c>
      <c r="M81" s="254">
        <f t="shared" si="53"/>
        <v>52935.48</v>
      </c>
      <c r="N81" s="255">
        <v>1017.99</v>
      </c>
      <c r="O81" s="256">
        <f t="shared" si="54"/>
        <v>26.789210526315788</v>
      </c>
    </row>
    <row r="82" spans="2:15" ht="13.8" x14ac:dyDescent="0.3">
      <c r="D82" s="2" t="s">
        <v>335</v>
      </c>
      <c r="L82" s="253" t="s">
        <v>431</v>
      </c>
      <c r="M82" s="254">
        <f t="shared" si="53"/>
        <v>59993.96</v>
      </c>
      <c r="N82" s="255">
        <v>1153.73</v>
      </c>
      <c r="O82" s="256">
        <f t="shared" si="54"/>
        <v>30.361315789473686</v>
      </c>
    </row>
    <row r="83" spans="2:15" ht="13.8" x14ac:dyDescent="0.3">
      <c r="L83" s="253" t="s">
        <v>432</v>
      </c>
      <c r="M83" s="254">
        <f t="shared" si="53"/>
        <v>67051.92</v>
      </c>
      <c r="N83" s="255">
        <v>1289.46</v>
      </c>
      <c r="O83" s="256">
        <f t="shared" si="54"/>
        <v>33.933157894736844</v>
      </c>
    </row>
    <row r="84" spans="2:15" ht="13.8" x14ac:dyDescent="0.3">
      <c r="D84" s="19" t="s">
        <v>337</v>
      </c>
      <c r="L84" s="253" t="s">
        <v>433</v>
      </c>
      <c r="M84" s="254">
        <f t="shared" si="53"/>
        <v>39697.32</v>
      </c>
      <c r="N84" s="255">
        <v>763.41</v>
      </c>
      <c r="O84" s="256">
        <f t="shared" si="54"/>
        <v>20.089736842105264</v>
      </c>
    </row>
    <row r="85" spans="2:15" ht="13.8" x14ac:dyDescent="0.3">
      <c r="D85" s="19" t="s">
        <v>336</v>
      </c>
      <c r="L85" s="253" t="s">
        <v>434</v>
      </c>
      <c r="M85" s="254">
        <f t="shared" si="53"/>
        <v>46914.92</v>
      </c>
      <c r="N85" s="255">
        <v>902.21</v>
      </c>
      <c r="O85" s="256">
        <f t="shared" si="54"/>
        <v>23.742368421052632</v>
      </c>
    </row>
    <row r="86" spans="2:15" ht="13.8" x14ac:dyDescent="0.3">
      <c r="B86" s="226" t="s">
        <v>110</v>
      </c>
      <c r="L86" s="253" t="s">
        <v>435</v>
      </c>
      <c r="M86" s="254">
        <f t="shared" si="53"/>
        <v>54133.04</v>
      </c>
      <c r="N86" s="255">
        <v>1041.02</v>
      </c>
      <c r="O86" s="256">
        <f t="shared" si="54"/>
        <v>27.395263157894735</v>
      </c>
    </row>
    <row r="87" spans="2:15" ht="13.8" x14ac:dyDescent="0.3">
      <c r="B87" s="226" t="s">
        <v>111</v>
      </c>
      <c r="L87" s="253" t="s">
        <v>436</v>
      </c>
      <c r="M87" s="254">
        <f t="shared" si="53"/>
        <v>61350.64</v>
      </c>
      <c r="N87" s="255">
        <v>1179.82</v>
      </c>
      <c r="O87" s="256">
        <f t="shared" si="54"/>
        <v>31.047894736842103</v>
      </c>
    </row>
    <row r="88" spans="2:15" ht="13.8" x14ac:dyDescent="0.3">
      <c r="B88" s="226" t="s">
        <v>112</v>
      </c>
      <c r="L88" s="253" t="s">
        <v>437</v>
      </c>
      <c r="M88" s="254">
        <f t="shared" si="53"/>
        <v>68568.239999999991</v>
      </c>
      <c r="N88" s="255">
        <v>1318.62</v>
      </c>
      <c r="O88" s="256">
        <f t="shared" si="54"/>
        <v>34.700526315789467</v>
      </c>
    </row>
    <row r="89" spans="2:15" ht="13.8" x14ac:dyDescent="0.3">
      <c r="B89" s="226" t="s">
        <v>113</v>
      </c>
      <c r="L89" s="253" t="s">
        <v>438</v>
      </c>
      <c r="M89" s="254">
        <f t="shared" si="53"/>
        <v>40344.200000000004</v>
      </c>
      <c r="N89" s="255">
        <v>775.85</v>
      </c>
      <c r="O89" s="256">
        <f t="shared" si="54"/>
        <v>20.417105263157897</v>
      </c>
    </row>
    <row r="90" spans="2:15" ht="13.8" x14ac:dyDescent="0.3">
      <c r="B90" s="226" t="s">
        <v>114</v>
      </c>
      <c r="L90" s="253" t="s">
        <v>439</v>
      </c>
      <c r="M90" s="254">
        <f t="shared" si="53"/>
        <v>47679.32</v>
      </c>
      <c r="N90" s="255">
        <v>916.91</v>
      </c>
      <c r="O90" s="256">
        <f t="shared" si="54"/>
        <v>24.129210526315788</v>
      </c>
    </row>
    <row r="91" spans="2:15" ht="13.8" x14ac:dyDescent="0.3">
      <c r="B91" s="226" t="s">
        <v>115</v>
      </c>
      <c r="L91" s="253" t="s">
        <v>440</v>
      </c>
      <c r="M91" s="254">
        <f t="shared" si="53"/>
        <v>55014.96</v>
      </c>
      <c r="N91" s="255">
        <v>1057.98</v>
      </c>
      <c r="O91" s="256">
        <f t="shared" si="54"/>
        <v>27.841578947368422</v>
      </c>
    </row>
    <row r="92" spans="2:15" ht="13.8" x14ac:dyDescent="0.3">
      <c r="B92" s="226" t="s">
        <v>116</v>
      </c>
      <c r="L92" s="253" t="s">
        <v>441</v>
      </c>
      <c r="M92" s="254">
        <f t="shared" si="53"/>
        <v>62350.080000000002</v>
      </c>
      <c r="N92" s="255">
        <v>1199.04</v>
      </c>
      <c r="O92" s="256">
        <f t="shared" si="54"/>
        <v>31.553684210526313</v>
      </c>
    </row>
    <row r="93" spans="2:15" ht="13.8" x14ac:dyDescent="0.3">
      <c r="B93" s="226" t="s">
        <v>117</v>
      </c>
      <c r="L93" s="253" t="s">
        <v>442</v>
      </c>
      <c r="M93" s="254">
        <f t="shared" si="53"/>
        <v>69685.2</v>
      </c>
      <c r="N93" s="255">
        <v>1340.1</v>
      </c>
      <c r="O93" s="256">
        <f t="shared" si="54"/>
        <v>35.265789473684208</v>
      </c>
    </row>
    <row r="94" spans="2:15" ht="13.8" x14ac:dyDescent="0.3">
      <c r="B94" s="226" t="s">
        <v>118</v>
      </c>
      <c r="L94" s="253" t="s">
        <v>443</v>
      </c>
      <c r="M94" s="254">
        <f t="shared" si="53"/>
        <v>64034.36</v>
      </c>
      <c r="N94" s="255">
        <v>1231.43</v>
      </c>
      <c r="O94" s="256">
        <f t="shared" si="54"/>
        <v>32.406052631578952</v>
      </c>
    </row>
    <row r="95" spans="2:15" ht="13.8" x14ac:dyDescent="0.3">
      <c r="B95" s="226" t="s">
        <v>119</v>
      </c>
      <c r="L95" s="253" t="s">
        <v>444</v>
      </c>
      <c r="M95" s="254">
        <f t="shared" si="53"/>
        <v>64622.48</v>
      </c>
      <c r="N95" s="255">
        <v>1242.74</v>
      </c>
      <c r="O95" s="256">
        <f t="shared" si="54"/>
        <v>32.703684210526319</v>
      </c>
    </row>
    <row r="96" spans="2:15" ht="13.8" x14ac:dyDescent="0.3">
      <c r="B96" s="2" t="s">
        <v>313</v>
      </c>
      <c r="L96" s="253" t="s">
        <v>445</v>
      </c>
      <c r="M96" s="254">
        <f t="shared" si="53"/>
        <v>65203.840000000004</v>
      </c>
      <c r="N96" s="255">
        <v>1253.92</v>
      </c>
      <c r="O96" s="256">
        <f t="shared" si="54"/>
        <v>32.997894736842106</v>
      </c>
    </row>
    <row r="97" spans="2:15" ht="13.8" x14ac:dyDescent="0.3">
      <c r="B97" s="2" t="s">
        <v>314</v>
      </c>
      <c r="L97" s="253" t="s">
        <v>446</v>
      </c>
      <c r="M97" s="254">
        <f t="shared" si="53"/>
        <v>65786.239999999991</v>
      </c>
      <c r="N97" s="255">
        <v>1265.1199999999999</v>
      </c>
      <c r="O97" s="256">
        <f t="shared" si="54"/>
        <v>33.292631578947365</v>
      </c>
    </row>
    <row r="98" spans="2:15" ht="13.8" x14ac:dyDescent="0.3">
      <c r="B98" s="2" t="s">
        <v>315</v>
      </c>
      <c r="L98" s="253" t="s">
        <v>447</v>
      </c>
      <c r="M98" s="254">
        <f t="shared" si="53"/>
        <v>66659.839999999997</v>
      </c>
      <c r="N98" s="255">
        <v>1281.92</v>
      </c>
      <c r="O98" s="256">
        <f t="shared" si="54"/>
        <v>33.734736842105264</v>
      </c>
    </row>
    <row r="99" spans="2:15" ht="13.8" x14ac:dyDescent="0.3">
      <c r="B99" s="2" t="s">
        <v>316</v>
      </c>
      <c r="L99" s="253" t="s">
        <v>448</v>
      </c>
      <c r="M99" s="254">
        <f t="shared" si="53"/>
        <v>67429.440000000002</v>
      </c>
      <c r="N99" s="255">
        <v>1296.72</v>
      </c>
      <c r="O99" s="256">
        <f t="shared" si="54"/>
        <v>34.124210526315792</v>
      </c>
    </row>
    <row r="100" spans="2:15" ht="13.8" x14ac:dyDescent="0.3">
      <c r="L100" s="253" t="s">
        <v>449</v>
      </c>
      <c r="M100" s="254">
        <f t="shared" si="53"/>
        <v>68284.320000000007</v>
      </c>
      <c r="N100" s="255">
        <v>1313.16</v>
      </c>
      <c r="O100" s="256">
        <f t="shared" si="54"/>
        <v>34.556842105263158</v>
      </c>
    </row>
    <row r="101" spans="2:15" ht="13.8" x14ac:dyDescent="0.3">
      <c r="L101" s="253" t="s">
        <v>450</v>
      </c>
      <c r="M101" s="254">
        <f t="shared" si="53"/>
        <v>69084.599999999991</v>
      </c>
      <c r="N101" s="255">
        <v>1328.55</v>
      </c>
      <c r="O101" s="256">
        <f t="shared" si="54"/>
        <v>34.961842105263159</v>
      </c>
    </row>
    <row r="102" spans="2:15" ht="13.8" x14ac:dyDescent="0.3">
      <c r="L102" s="253" t="s">
        <v>451</v>
      </c>
      <c r="M102" s="254">
        <f t="shared" si="53"/>
        <v>70580.639999999999</v>
      </c>
      <c r="N102" s="255">
        <v>1357.32</v>
      </c>
      <c r="O102" s="256">
        <f t="shared" si="54"/>
        <v>35.718947368421048</v>
      </c>
    </row>
    <row r="103" spans="2:15" ht="13.8" x14ac:dyDescent="0.3">
      <c r="L103" s="253" t="s">
        <v>452</v>
      </c>
      <c r="M103" s="254">
        <f t="shared" si="53"/>
        <v>72177.039999999994</v>
      </c>
      <c r="N103" s="255">
        <v>1388.02</v>
      </c>
      <c r="O103" s="256">
        <f t="shared" si="54"/>
        <v>36.526842105263157</v>
      </c>
    </row>
    <row r="104" spans="2:15" ht="13.8" x14ac:dyDescent="0.3">
      <c r="L104" s="253" t="s">
        <v>453</v>
      </c>
      <c r="M104" s="254">
        <f t="shared" si="53"/>
        <v>73352.760000000009</v>
      </c>
      <c r="N104" s="255">
        <v>1410.63</v>
      </c>
      <c r="O104" s="256">
        <f t="shared" si="54"/>
        <v>37.121842105263163</v>
      </c>
    </row>
    <row r="105" spans="2:15" ht="13.8" x14ac:dyDescent="0.3">
      <c r="L105" s="253" t="s">
        <v>454</v>
      </c>
      <c r="M105" s="254">
        <f t="shared" si="53"/>
        <v>73955.44</v>
      </c>
      <c r="N105" s="255">
        <v>1422.22</v>
      </c>
      <c r="O105" s="256">
        <f t="shared" si="54"/>
        <v>37.426842105263155</v>
      </c>
    </row>
    <row r="106" spans="2:15" ht="13.8" x14ac:dyDescent="0.3">
      <c r="L106" s="253" t="s">
        <v>455</v>
      </c>
      <c r="M106" s="254">
        <f t="shared" si="53"/>
        <v>75297.039999999994</v>
      </c>
      <c r="N106" s="255">
        <v>1448.02</v>
      </c>
      <c r="O106" s="256">
        <f t="shared" si="54"/>
        <v>38.105789473684212</v>
      </c>
    </row>
    <row r="107" spans="2:15" ht="13.8" x14ac:dyDescent="0.3">
      <c r="L107" s="253" t="s">
        <v>456</v>
      </c>
      <c r="M107" s="254">
        <f t="shared" si="53"/>
        <v>77082.720000000001</v>
      </c>
      <c r="N107" s="255">
        <v>1482.36</v>
      </c>
      <c r="O107" s="256">
        <f t="shared" si="54"/>
        <v>39.009473684210526</v>
      </c>
    </row>
    <row r="108" spans="2:15" ht="13.8" x14ac:dyDescent="0.3">
      <c r="L108" s="253" t="s">
        <v>457</v>
      </c>
      <c r="M108" s="254">
        <f t="shared" si="53"/>
        <v>78373.88</v>
      </c>
      <c r="N108" s="255">
        <v>1507.19</v>
      </c>
      <c r="O108" s="256">
        <f t="shared" si="54"/>
        <v>39.662894736842105</v>
      </c>
    </row>
    <row r="109" spans="2:15" ht="13.8" x14ac:dyDescent="0.3">
      <c r="L109" s="253" t="s">
        <v>458</v>
      </c>
      <c r="M109" s="254">
        <f t="shared" si="53"/>
        <v>80383.16</v>
      </c>
      <c r="N109" s="255">
        <v>1545.83</v>
      </c>
      <c r="O109" s="256">
        <f t="shared" si="54"/>
        <v>40.679736842105264</v>
      </c>
    </row>
    <row r="110" spans="2:15" ht="13.8" x14ac:dyDescent="0.3">
      <c r="L110" s="253" t="s">
        <v>459</v>
      </c>
      <c r="M110" s="254">
        <f t="shared" si="53"/>
        <v>84439.16</v>
      </c>
      <c r="N110" s="255">
        <v>1623.83</v>
      </c>
      <c r="O110" s="256">
        <f t="shared" si="54"/>
        <v>42.732368421052627</v>
      </c>
    </row>
    <row r="111" spans="2:15" ht="13.8" x14ac:dyDescent="0.3">
      <c r="L111" s="253" t="s">
        <v>460</v>
      </c>
      <c r="M111" s="254">
        <f t="shared" si="53"/>
        <v>88602.28</v>
      </c>
      <c r="N111" s="255">
        <v>1703.89</v>
      </c>
      <c r="O111" s="256">
        <f t="shared" si="54"/>
        <v>44.839210526315789</v>
      </c>
    </row>
    <row r="112" spans="2:15" ht="13.8" x14ac:dyDescent="0.3">
      <c r="L112" s="253" t="s">
        <v>461</v>
      </c>
      <c r="M112" s="254">
        <f t="shared" si="53"/>
        <v>92796.08</v>
      </c>
      <c r="N112" s="255">
        <v>1784.54</v>
      </c>
      <c r="O112" s="256">
        <f t="shared" si="54"/>
        <v>46.961578947368423</v>
      </c>
    </row>
    <row r="113" spans="12:15" ht="13.8" x14ac:dyDescent="0.3">
      <c r="L113" s="253" t="s">
        <v>462</v>
      </c>
      <c r="M113" s="254">
        <f t="shared" si="53"/>
        <v>97411.08</v>
      </c>
      <c r="N113" s="255">
        <v>1873.29</v>
      </c>
      <c r="O113" s="256">
        <f t="shared" si="54"/>
        <v>49.297105263157896</v>
      </c>
    </row>
    <row r="114" spans="12:15" ht="13.8" x14ac:dyDescent="0.3">
      <c r="L114" s="253" t="s">
        <v>463</v>
      </c>
      <c r="M114" s="254">
        <f t="shared" si="53"/>
        <v>101785.84</v>
      </c>
      <c r="N114" s="255">
        <v>1957.42</v>
      </c>
      <c r="O114" s="256">
        <f t="shared" si="54"/>
        <v>51.511052631578949</v>
      </c>
    </row>
    <row r="115" spans="12:15" ht="13.8" x14ac:dyDescent="0.3">
      <c r="L115" s="253" t="s">
        <v>464</v>
      </c>
      <c r="M115" s="254">
        <f t="shared" si="53"/>
        <v>106180.88</v>
      </c>
      <c r="N115" s="255">
        <v>2041.94</v>
      </c>
      <c r="O115" s="256">
        <f t="shared" si="54"/>
        <v>53.735263157894735</v>
      </c>
    </row>
    <row r="116" spans="12:15" ht="13.8" x14ac:dyDescent="0.3">
      <c r="L116" s="253" t="s">
        <v>465</v>
      </c>
      <c r="M116" s="254">
        <f t="shared" si="53"/>
        <v>109385.12</v>
      </c>
      <c r="N116" s="255">
        <v>2103.56</v>
      </c>
      <c r="O116" s="256">
        <f t="shared" si="54"/>
        <v>55.356842105263155</v>
      </c>
    </row>
    <row r="117" spans="12:15" ht="13.8" x14ac:dyDescent="0.3">
      <c r="L117" s="253" t="s">
        <v>466</v>
      </c>
      <c r="M117" s="254">
        <f t="shared" si="53"/>
        <v>113637.16</v>
      </c>
      <c r="N117" s="255">
        <v>2185.33</v>
      </c>
      <c r="O117" s="256">
        <f t="shared" si="54"/>
        <v>57.508684210526312</v>
      </c>
    </row>
    <row r="118" spans="12:15" ht="13.8" x14ac:dyDescent="0.3">
      <c r="L118" s="253" t="s">
        <v>467</v>
      </c>
      <c r="M118" s="254">
        <f t="shared" si="53"/>
        <v>118009.84</v>
      </c>
      <c r="N118" s="255">
        <v>2269.42</v>
      </c>
      <c r="O118" s="256">
        <f t="shared" si="54"/>
        <v>59.721578947368421</v>
      </c>
    </row>
    <row r="119" spans="12:15" ht="13.8" x14ac:dyDescent="0.3">
      <c r="L119" s="253" t="s">
        <v>468</v>
      </c>
      <c r="M119" s="254">
        <f t="shared" si="53"/>
        <v>122398.12</v>
      </c>
      <c r="N119" s="255">
        <v>2353.81</v>
      </c>
      <c r="O119" s="256">
        <f t="shared" si="54"/>
        <v>61.942368421052628</v>
      </c>
    </row>
    <row r="120" spans="12:15" ht="13.8" x14ac:dyDescent="0.3">
      <c r="L120" s="253" t="s">
        <v>469</v>
      </c>
      <c r="M120" s="254">
        <f t="shared" si="53"/>
        <v>127219.04</v>
      </c>
      <c r="N120" s="255">
        <v>2446.52</v>
      </c>
      <c r="O120" s="256">
        <f t="shared" si="54"/>
        <v>64.382105263157897</v>
      </c>
    </row>
    <row r="121" spans="12:15" ht="13.8" x14ac:dyDescent="0.3">
      <c r="L121" s="253" t="s">
        <v>470</v>
      </c>
      <c r="M121" s="254">
        <f t="shared" si="53"/>
        <v>132036.84</v>
      </c>
      <c r="N121" s="255">
        <v>2539.17</v>
      </c>
      <c r="O121" s="256">
        <f t="shared" si="54"/>
        <v>66.820263157894743</v>
      </c>
    </row>
    <row r="122" spans="12:15" ht="13.8" x14ac:dyDescent="0.3">
      <c r="L122" s="253" t="s">
        <v>471</v>
      </c>
      <c r="M122" s="254">
        <f t="shared" si="53"/>
        <v>137157.80000000002</v>
      </c>
      <c r="N122" s="255">
        <v>2637.65</v>
      </c>
      <c r="O122" s="256">
        <f t="shared" si="54"/>
        <v>69.411842105263162</v>
      </c>
    </row>
    <row r="123" spans="12:15" ht="13.8" x14ac:dyDescent="0.3">
      <c r="L123" s="253" t="s">
        <v>472</v>
      </c>
      <c r="M123" s="254">
        <f t="shared" si="53"/>
        <v>142561.12</v>
      </c>
      <c r="N123" s="255">
        <v>2741.56</v>
      </c>
      <c r="O123" s="256">
        <f t="shared" si="54"/>
        <v>72.14631578947369</v>
      </c>
    </row>
  </sheetData>
  <dataConsolidate/>
  <mergeCells count="2">
    <mergeCell ref="Y16:AH16"/>
    <mergeCell ref="Y2:AH2"/>
  </mergeCells>
  <dataValidations disablePrompts="1" count="2">
    <dataValidation type="list" allowBlank="1" showInputMessage="1" showErrorMessage="1" promptTitle="Banding Level" prompt="Select Banding" sqref="V26:W26" xr:uid="{9B74DBB8-559A-419A-954A-870E67F5394A}">
      <formula1>Banding_Level</formula1>
    </dataValidation>
    <dataValidation type="list" allowBlank="1" showInputMessage="1" showErrorMessage="1" promptTitle="Banding Level" prompt="Select Banding" sqref="V4" xr:uid="{6DDA005E-78EC-4897-9805-847AC48604EE}">
      <formula1>$L$4:$L$123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&amp;C&amp;F</oddHeader>
    <oddFooter>&amp;L&amp;D, &amp;T&amp;R&amp;P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6495-4939-4815-A9D2-23C2D7925976}">
  <dimension ref="X14:X25"/>
  <sheetViews>
    <sheetView topLeftCell="A10" workbookViewId="0">
      <selection activeCell="X15" sqref="X15"/>
    </sheetView>
  </sheetViews>
  <sheetFormatPr defaultRowHeight="14.4" x14ac:dyDescent="0.3"/>
  <sheetData>
    <row r="14" spans="24:24" x14ac:dyDescent="0.3">
      <c r="X14" t="s">
        <v>95</v>
      </c>
    </row>
    <row r="19" spans="24:24" x14ac:dyDescent="0.3">
      <c r="X19" t="s">
        <v>96</v>
      </c>
    </row>
    <row r="25" spans="24:24" x14ac:dyDescent="0.3">
      <c r="X25" t="s">
        <v>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U25"/>
  <sheetViews>
    <sheetView zoomScale="120" zoomScaleNormal="120" workbookViewId="0">
      <selection activeCell="L9" sqref="L9"/>
    </sheetView>
  </sheetViews>
  <sheetFormatPr defaultColWidth="9.33203125" defaultRowHeight="14.4" x14ac:dyDescent="0.3"/>
  <cols>
    <col min="1" max="1" width="34" style="207" customWidth="1"/>
    <col min="2" max="2" width="13.33203125" style="35" bestFit="1" customWidth="1"/>
    <col min="3" max="12" width="12.33203125" style="35" customWidth="1"/>
    <col min="13" max="13" width="43.33203125" style="35" customWidth="1"/>
    <col min="14" max="14" width="9.33203125" style="35"/>
    <col min="15" max="20" width="12.5546875" style="35" customWidth="1"/>
    <col min="21" max="16384" width="9.33203125" style="35"/>
  </cols>
  <sheetData>
    <row r="1" spans="1:21" x14ac:dyDescent="0.3">
      <c r="A1" s="206" t="s">
        <v>74</v>
      </c>
      <c r="B1" s="36" t="s">
        <v>99</v>
      </c>
      <c r="C1" s="36" t="s">
        <v>106</v>
      </c>
      <c r="D1" s="36" t="s">
        <v>289</v>
      </c>
      <c r="E1" s="36" t="s">
        <v>304</v>
      </c>
      <c r="F1" s="36" t="s">
        <v>305</v>
      </c>
      <c r="G1" s="36" t="s">
        <v>306</v>
      </c>
      <c r="H1" s="36" t="s">
        <v>308</v>
      </c>
      <c r="I1" s="36" t="s">
        <v>311</v>
      </c>
      <c r="J1" s="36" t="s">
        <v>474</v>
      </c>
      <c r="K1" s="36" t="s">
        <v>475</v>
      </c>
      <c r="L1" s="36" t="s">
        <v>892</v>
      </c>
      <c r="M1" s="70" t="s">
        <v>98</v>
      </c>
      <c r="N1" s="70" t="s">
        <v>105</v>
      </c>
      <c r="O1" s="36" t="s">
        <v>36</v>
      </c>
      <c r="P1" s="36" t="s">
        <v>52</v>
      </c>
      <c r="Q1" s="36" t="s">
        <v>93</v>
      </c>
      <c r="R1" s="36" t="s">
        <v>94</v>
      </c>
      <c r="S1" s="36" t="s">
        <v>95</v>
      </c>
      <c r="T1" s="36" t="s">
        <v>96</v>
      </c>
      <c r="U1" s="35" t="s">
        <v>97</v>
      </c>
    </row>
    <row r="2" spans="1:21" x14ac:dyDescent="0.3">
      <c r="A2" s="207" t="s">
        <v>100</v>
      </c>
      <c r="B2" s="71">
        <v>0.03</v>
      </c>
      <c r="C2" s="71">
        <v>2.5000000000000001E-2</v>
      </c>
      <c r="D2" s="71">
        <v>2.5000000000000001E-2</v>
      </c>
      <c r="E2" s="71">
        <v>2.5000000000000001E-2</v>
      </c>
      <c r="F2" s="71">
        <v>2.5000000000000001E-2</v>
      </c>
      <c r="G2" s="71">
        <v>2.5000000000000001E-2</v>
      </c>
      <c r="H2" s="71">
        <v>2.5000000000000001E-2</v>
      </c>
      <c r="I2" s="71">
        <v>2.5000000000000001E-2</v>
      </c>
      <c r="J2" s="71">
        <v>2.5000000000000001E-2</v>
      </c>
      <c r="K2" s="71">
        <v>2.5000000000000001E-2</v>
      </c>
      <c r="L2" s="71">
        <v>2.5000000000000001E-2</v>
      </c>
      <c r="M2" s="40"/>
      <c r="O2" s="72">
        <v>2.2499999999999999E-2</v>
      </c>
      <c r="P2" s="72">
        <v>2.5000000000000001E-2</v>
      </c>
      <c r="Q2" s="72">
        <v>0.02</v>
      </c>
      <c r="R2" s="72">
        <v>1.4999999999999999E-2</v>
      </c>
      <c r="S2" s="72">
        <v>1.7500000000000002E-2</v>
      </c>
      <c r="T2" s="72">
        <v>3.5000000000000003E-2</v>
      </c>
      <c r="U2" s="264">
        <v>2.75E-2</v>
      </c>
    </row>
    <row r="3" spans="1:21" x14ac:dyDescent="0.3">
      <c r="A3" s="215" t="s">
        <v>101</v>
      </c>
      <c r="B3" s="71">
        <v>0.03</v>
      </c>
      <c r="C3" s="71">
        <v>2.5000000000000001E-2</v>
      </c>
      <c r="D3" s="71">
        <v>2.5000000000000001E-2</v>
      </c>
      <c r="E3" s="71">
        <v>2.5000000000000001E-2</v>
      </c>
      <c r="F3" s="71">
        <v>2.5000000000000001E-2</v>
      </c>
      <c r="G3" s="71">
        <v>2.5000000000000001E-2</v>
      </c>
      <c r="H3" s="71">
        <v>2.5000000000000001E-2</v>
      </c>
      <c r="I3" s="71">
        <v>2.5000000000000001E-2</v>
      </c>
      <c r="J3" s="71">
        <v>2.5000000000000001E-2</v>
      </c>
      <c r="K3" s="71">
        <v>2.5000000000000001E-2</v>
      </c>
      <c r="L3" s="71">
        <v>2.5000000000000001E-2</v>
      </c>
      <c r="M3" s="70"/>
      <c r="O3" s="72">
        <f>O2</f>
        <v>2.2499999999999999E-2</v>
      </c>
      <c r="P3" s="72">
        <v>2.5000000000000001E-2</v>
      </c>
      <c r="Q3" s="72">
        <v>2.2499999999999999E-2</v>
      </c>
      <c r="R3" s="72">
        <v>2.2499999999999999E-2</v>
      </c>
      <c r="S3" s="72">
        <v>2.2499999999999999E-2</v>
      </c>
      <c r="T3" s="72">
        <v>3.5000000000000003E-2</v>
      </c>
      <c r="U3" s="264">
        <v>2.75E-2</v>
      </c>
    </row>
    <row r="4" spans="1:21" x14ac:dyDescent="0.3">
      <c r="A4" s="215" t="s">
        <v>297</v>
      </c>
      <c r="B4" s="71">
        <v>0</v>
      </c>
      <c r="C4" s="71">
        <v>5.0000000000000001E-3</v>
      </c>
      <c r="D4" s="71">
        <v>5.0000000000000001E-3</v>
      </c>
      <c r="E4" s="71">
        <v>5.0000000000000001E-3</v>
      </c>
      <c r="F4" s="71">
        <v>5.0000000000000001E-3</v>
      </c>
      <c r="G4" s="71">
        <v>5.0000000000000001E-3</v>
      </c>
      <c r="H4" s="71">
        <v>5.0000000000000001E-3</v>
      </c>
      <c r="I4" s="71">
        <v>5.0000000000000001E-3</v>
      </c>
      <c r="J4" s="71">
        <v>5.0000000000000001E-3</v>
      </c>
      <c r="K4" s="71">
        <v>5.0000000000000001E-3</v>
      </c>
      <c r="L4" s="71">
        <v>5.0000000000000001E-3</v>
      </c>
      <c r="M4" s="70"/>
      <c r="O4" s="72"/>
      <c r="P4" s="72"/>
      <c r="Q4" s="72">
        <v>0</v>
      </c>
      <c r="R4" s="72">
        <v>0</v>
      </c>
      <c r="S4" s="72">
        <v>0</v>
      </c>
      <c r="T4" s="72">
        <v>0</v>
      </c>
      <c r="U4" s="264">
        <v>0</v>
      </c>
    </row>
    <row r="5" spans="1:21" x14ac:dyDescent="0.3">
      <c r="A5" s="215" t="s">
        <v>298</v>
      </c>
      <c r="B5" s="216">
        <f>B3+B4</f>
        <v>0.03</v>
      </c>
      <c r="C5" s="216">
        <f t="shared" ref="C5:H5" si="0">C3+C4</f>
        <v>3.0000000000000002E-2</v>
      </c>
      <c r="D5" s="216">
        <f t="shared" si="0"/>
        <v>3.0000000000000002E-2</v>
      </c>
      <c r="E5" s="216">
        <f t="shared" si="0"/>
        <v>3.0000000000000002E-2</v>
      </c>
      <c r="F5" s="216">
        <f t="shared" si="0"/>
        <v>3.0000000000000002E-2</v>
      </c>
      <c r="G5" s="216">
        <f t="shared" si="0"/>
        <v>3.0000000000000002E-2</v>
      </c>
      <c r="H5" s="216">
        <f t="shared" si="0"/>
        <v>3.0000000000000002E-2</v>
      </c>
      <c r="I5" s="216">
        <f t="shared" ref="I5" si="1">I3+I4</f>
        <v>3.0000000000000002E-2</v>
      </c>
      <c r="J5" s="216">
        <f t="shared" ref="J5" si="2">J3+J4</f>
        <v>3.0000000000000002E-2</v>
      </c>
      <c r="K5" s="216">
        <f t="shared" ref="K5:L5" si="3">K3+K4</f>
        <v>3.0000000000000002E-2</v>
      </c>
      <c r="L5" s="216">
        <f t="shared" si="3"/>
        <v>3.0000000000000002E-2</v>
      </c>
      <c r="M5" s="70"/>
      <c r="O5" s="72"/>
      <c r="P5" s="72"/>
      <c r="Q5" s="72">
        <v>2.2499999999999999E-2</v>
      </c>
      <c r="R5" s="72">
        <v>2.2499999999999999E-2</v>
      </c>
      <c r="S5" s="72">
        <v>2.2499999999999999E-2</v>
      </c>
      <c r="T5" s="72">
        <v>3.5000000000000003E-2</v>
      </c>
      <c r="U5" s="264">
        <v>2.75E-2</v>
      </c>
    </row>
    <row r="6" spans="1:21" x14ac:dyDescent="0.3">
      <c r="A6" s="208" t="s">
        <v>292</v>
      </c>
      <c r="B6" s="210">
        <f>(B7/17.5%)/4</f>
        <v>2832.5714285714289</v>
      </c>
      <c r="C6" s="210">
        <f t="shared" ref="C6:L6" si="4">(C7/17.5%)/4</f>
        <v>2903.3857142857141</v>
      </c>
      <c r="D6" s="210">
        <f t="shared" si="4"/>
        <v>2975.9703571428568</v>
      </c>
      <c r="E6" s="210">
        <f t="shared" si="4"/>
        <v>3050.369616071428</v>
      </c>
      <c r="F6" s="210">
        <f t="shared" si="4"/>
        <v>3126.6288564732135</v>
      </c>
      <c r="G6" s="210">
        <f t="shared" si="4"/>
        <v>3204.7945778850435</v>
      </c>
      <c r="H6" s="210">
        <f t="shared" si="4"/>
        <v>3284.9144423321691</v>
      </c>
      <c r="I6" s="210">
        <f t="shared" si="4"/>
        <v>3367.037303390473</v>
      </c>
      <c r="J6" s="210">
        <f t="shared" si="4"/>
        <v>3451.2132359752345</v>
      </c>
      <c r="K6" s="210">
        <f t="shared" si="4"/>
        <v>3537.4935668746152</v>
      </c>
      <c r="L6" s="210">
        <f t="shared" si="4"/>
        <v>3625.9309060464807</v>
      </c>
      <c r="O6" s="73">
        <v>2297.71</v>
      </c>
      <c r="P6" s="73">
        <v>2422.29</v>
      </c>
      <c r="Q6" s="73">
        <v>2502.0000000000005</v>
      </c>
      <c r="R6" s="73">
        <v>2577.4285714285716</v>
      </c>
      <c r="S6" s="73">
        <v>2637.8571428571431</v>
      </c>
      <c r="T6" s="73">
        <v>2724.4285714285716</v>
      </c>
      <c r="U6" s="35">
        <v>2832.5714285714289</v>
      </c>
    </row>
    <row r="7" spans="1:21" ht="27" x14ac:dyDescent="0.3">
      <c r="A7" s="208" t="s">
        <v>290</v>
      </c>
      <c r="B7" s="217">
        <v>1982.8</v>
      </c>
      <c r="C7" s="212">
        <f>B7*(1+C3)</f>
        <v>2032.37</v>
      </c>
      <c r="D7" s="212">
        <f>C7*(1+D3)</f>
        <v>2083.1792499999997</v>
      </c>
      <c r="E7" s="212">
        <f t="shared" ref="E7" si="5">D7*(1+E3)</f>
        <v>2135.2587312499995</v>
      </c>
      <c r="F7" s="212">
        <f t="shared" ref="F7" si="6">E7*(1+F3)</f>
        <v>2188.6401995312494</v>
      </c>
      <c r="G7" s="212">
        <f t="shared" ref="G7" si="7">F7*(1+G3)</f>
        <v>2243.3562045195304</v>
      </c>
      <c r="H7" s="212">
        <f>G7*(1+H3)</f>
        <v>2299.4401096325182</v>
      </c>
      <c r="I7" s="212">
        <f t="shared" ref="I7:L7" si="8">H7*(1+I3)</f>
        <v>2356.9261123733309</v>
      </c>
      <c r="J7" s="212">
        <f t="shared" si="8"/>
        <v>2415.8492651826641</v>
      </c>
      <c r="K7" s="212">
        <f t="shared" si="8"/>
        <v>2476.2454968122306</v>
      </c>
      <c r="L7" s="212">
        <f t="shared" si="8"/>
        <v>2538.1516342325363</v>
      </c>
      <c r="M7" s="35" t="s">
        <v>893</v>
      </c>
      <c r="O7" s="73">
        <v>1608.4</v>
      </c>
      <c r="P7" s="73">
        <v>1695.6</v>
      </c>
      <c r="Q7" s="73">
        <v>1751.4</v>
      </c>
      <c r="R7" s="73">
        <v>1804.2</v>
      </c>
      <c r="S7" s="73">
        <v>1846.5</v>
      </c>
      <c r="T7" s="73">
        <v>1907.1</v>
      </c>
      <c r="U7" s="35">
        <v>1982.8</v>
      </c>
    </row>
    <row r="8" spans="1:21" x14ac:dyDescent="0.3">
      <c r="A8" s="208" t="s">
        <v>48</v>
      </c>
      <c r="B8" s="74">
        <v>0.17499999999999999</v>
      </c>
      <c r="C8" s="74">
        <v>0.17499999999999999</v>
      </c>
      <c r="D8" s="74">
        <v>0.17499999999999999</v>
      </c>
      <c r="E8" s="74">
        <v>0.17499999999999999</v>
      </c>
      <c r="F8" s="74">
        <v>0.17499999999999999</v>
      </c>
      <c r="G8" s="74">
        <v>0.17499999999999999</v>
      </c>
      <c r="H8" s="74">
        <v>0.17499999999999999</v>
      </c>
      <c r="I8" s="74">
        <v>0.17499999999999999</v>
      </c>
      <c r="J8" s="74">
        <v>0.17499999999999999</v>
      </c>
      <c r="K8" s="74">
        <v>0.17499999999999999</v>
      </c>
      <c r="L8" s="74">
        <v>0.17499999999999999</v>
      </c>
      <c r="M8" s="40" t="s">
        <v>85</v>
      </c>
      <c r="O8" s="74">
        <v>0.17499999999999999</v>
      </c>
      <c r="P8" s="74">
        <v>0.17499999999999999</v>
      </c>
      <c r="Q8" s="74">
        <v>0.17499999999999999</v>
      </c>
      <c r="R8" s="74">
        <v>0.17499999999999999</v>
      </c>
      <c r="S8" s="74">
        <v>0.17499999999999999</v>
      </c>
      <c r="T8" s="74">
        <v>0.17499999999999999</v>
      </c>
      <c r="U8" s="264">
        <v>0.17499999999999999</v>
      </c>
    </row>
    <row r="9" spans="1:21" x14ac:dyDescent="0.3">
      <c r="A9" s="208" t="s">
        <v>53</v>
      </c>
      <c r="B9" s="265">
        <v>2.8000000000000001E-2</v>
      </c>
      <c r="C9" s="71">
        <v>2.8000000000000001E-2</v>
      </c>
      <c r="D9" s="71">
        <v>2.8000000000000001E-2</v>
      </c>
      <c r="E9" s="71">
        <v>2.8000000000000001E-2</v>
      </c>
      <c r="F9" s="71">
        <v>2.8000000000000001E-2</v>
      </c>
      <c r="G9" s="71">
        <v>2.8000000000000001E-2</v>
      </c>
      <c r="H9" s="71">
        <v>2.8000000000000001E-2</v>
      </c>
      <c r="I9" s="71">
        <v>2.8000000000000001E-2</v>
      </c>
      <c r="J9" s="71">
        <v>2.8000000000000001E-2</v>
      </c>
      <c r="K9" s="71">
        <v>2.8000000000000001E-2</v>
      </c>
      <c r="L9" s="71">
        <v>2.8000000000000001E-2</v>
      </c>
      <c r="M9" s="40" t="s">
        <v>894</v>
      </c>
      <c r="O9" s="74">
        <v>2.4E-2</v>
      </c>
      <c r="P9" s="74">
        <v>2.3800000000000002E-2</v>
      </c>
      <c r="Q9" s="74">
        <v>2.3800000000000002E-2</v>
      </c>
      <c r="R9" s="74">
        <v>2.3800000000000002E-2</v>
      </c>
      <c r="S9" s="74">
        <v>1.7500000000000002E-2</v>
      </c>
      <c r="T9" s="74">
        <v>2.1000000000000001E-2</v>
      </c>
      <c r="U9" s="264">
        <v>2.86E-2</v>
      </c>
    </row>
    <row r="10" spans="1:21" x14ac:dyDescent="0.3">
      <c r="A10" s="208" t="s">
        <v>78</v>
      </c>
      <c r="B10" s="74">
        <v>0.12</v>
      </c>
      <c r="C10" s="74">
        <v>0.12</v>
      </c>
      <c r="D10" s="74">
        <v>0.12</v>
      </c>
      <c r="E10" s="74">
        <v>0.12</v>
      </c>
      <c r="F10" s="74">
        <v>0.12</v>
      </c>
      <c r="G10" s="74">
        <v>0.12</v>
      </c>
      <c r="H10" s="74">
        <v>0.12</v>
      </c>
      <c r="I10" s="74">
        <v>0.12</v>
      </c>
      <c r="J10" s="74">
        <v>0.12</v>
      </c>
      <c r="K10" s="74">
        <v>0.12</v>
      </c>
      <c r="L10" s="74">
        <v>0.12</v>
      </c>
      <c r="M10" s="40" t="s">
        <v>294</v>
      </c>
      <c r="O10" s="74">
        <v>9.5000000000000001E-2</v>
      </c>
      <c r="P10" s="74">
        <v>9.5000000000000001E-2</v>
      </c>
      <c r="Q10" s="74">
        <v>9.5000000000000001E-2</v>
      </c>
      <c r="R10" s="74">
        <v>0.1</v>
      </c>
      <c r="S10" s="74">
        <v>0.105</v>
      </c>
      <c r="T10" s="74">
        <v>0.11</v>
      </c>
      <c r="U10" s="264">
        <v>0.115</v>
      </c>
    </row>
    <row r="11" spans="1:21" x14ac:dyDescent="0.3">
      <c r="A11" s="208" t="s">
        <v>84</v>
      </c>
      <c r="B11" s="74">
        <v>2.5000000000000001E-2</v>
      </c>
      <c r="C11" s="74">
        <v>2.5000000000000001E-2</v>
      </c>
      <c r="D11" s="74">
        <v>2.5000000000000001E-2</v>
      </c>
      <c r="E11" s="74">
        <v>2.5000000000000001E-2</v>
      </c>
      <c r="F11" s="74">
        <v>2.5000000000000001E-2</v>
      </c>
      <c r="G11" s="74">
        <v>2.5000000000000001E-2</v>
      </c>
      <c r="H11" s="74">
        <v>2.5000000000000001E-2</v>
      </c>
      <c r="I11" s="74">
        <v>2.5000000000000001E-2</v>
      </c>
      <c r="J11" s="74">
        <v>2.5000000000000001E-2</v>
      </c>
      <c r="K11" s="74">
        <v>2.5000000000000001E-2</v>
      </c>
      <c r="L11" s="74">
        <v>2.5000000000000001E-2</v>
      </c>
      <c r="M11" s="43" t="s">
        <v>86</v>
      </c>
      <c r="O11" s="74">
        <v>2.5000000000000001E-2</v>
      </c>
      <c r="P11" s="74">
        <v>2.5000000000000001E-2</v>
      </c>
      <c r="Q11" s="74">
        <v>2.5000000000000001E-2</v>
      </c>
      <c r="R11" s="74">
        <v>2.5000000000000001E-2</v>
      </c>
      <c r="S11" s="74">
        <v>2.5000000000000001E-2</v>
      </c>
      <c r="T11" s="74">
        <v>2.5000000000000001E-2</v>
      </c>
      <c r="U11" s="264">
        <v>2.5000000000000001E-2</v>
      </c>
    </row>
    <row r="13" spans="1:21" x14ac:dyDescent="0.3">
      <c r="C13" s="259" t="s">
        <v>477</v>
      </c>
      <c r="M13" s="42"/>
    </row>
    <row r="14" spans="1:21" x14ac:dyDescent="0.3">
      <c r="A14" s="207" t="s">
        <v>291</v>
      </c>
      <c r="B14" s="221"/>
      <c r="C14" s="260">
        <v>45898</v>
      </c>
      <c r="M14" s="41"/>
    </row>
    <row r="16" spans="1:21" x14ac:dyDescent="0.3">
      <c r="A16" s="209" t="s">
        <v>102</v>
      </c>
    </row>
    <row r="17" spans="1:1" x14ac:dyDescent="0.3">
      <c r="A17" s="211" t="s">
        <v>293</v>
      </c>
    </row>
    <row r="19" spans="1:1" x14ac:dyDescent="0.3">
      <c r="A19" s="206" t="s">
        <v>75</v>
      </c>
    </row>
    <row r="20" spans="1:1" x14ac:dyDescent="0.3">
      <c r="A20" s="207" t="s">
        <v>76</v>
      </c>
    </row>
    <row r="25" spans="1:1" x14ac:dyDescent="0.3">
      <c r="A25" s="214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D359-F91F-4C35-972C-5BFD5D3A2D14}">
  <dimension ref="U4"/>
  <sheetViews>
    <sheetView topLeftCell="A16" workbookViewId="0">
      <selection activeCell="V4" sqref="V4"/>
    </sheetView>
  </sheetViews>
  <sheetFormatPr defaultRowHeight="14.4" x14ac:dyDescent="0.3"/>
  <sheetData>
    <row r="4" spans="21:21" x14ac:dyDescent="0.3">
      <c r="U4" s="213" t="s">
        <v>295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5"/>
  <sheetViews>
    <sheetView topLeftCell="A45" workbookViewId="0">
      <selection activeCell="E66" sqref="E66"/>
    </sheetView>
  </sheetViews>
  <sheetFormatPr defaultRowHeight="14.4" x14ac:dyDescent="0.3"/>
  <cols>
    <col min="1" max="1" width="11.44140625" customWidth="1"/>
    <col min="2" max="2" width="18.33203125" bestFit="1" customWidth="1"/>
    <col min="3" max="3" width="15.33203125" customWidth="1"/>
    <col min="4" max="4" width="4.6640625" customWidth="1"/>
    <col min="5" max="5" width="27.33203125" bestFit="1" customWidth="1"/>
    <col min="7" max="18" width="11.6640625" customWidth="1"/>
    <col min="19" max="19" width="9.33203125" style="59"/>
    <col min="21" max="21" width="11.5546875" bestFit="1" customWidth="1"/>
  </cols>
  <sheetData>
    <row r="1" spans="1:21" ht="18" hidden="1" x14ac:dyDescent="0.35">
      <c r="A1" s="63" t="s">
        <v>54</v>
      </c>
      <c r="B1" s="63" t="s">
        <v>55</v>
      </c>
      <c r="C1" s="63" t="s">
        <v>56</v>
      </c>
      <c r="E1" s="67" t="s">
        <v>36</v>
      </c>
      <c r="G1" s="58" t="s">
        <v>57</v>
      </c>
      <c r="H1" s="58" t="s">
        <v>58</v>
      </c>
      <c r="I1" s="58" t="s">
        <v>59</v>
      </c>
      <c r="J1" s="58" t="s">
        <v>60</v>
      </c>
      <c r="K1" s="58" t="s">
        <v>61</v>
      </c>
      <c r="L1" s="58" t="s">
        <v>62</v>
      </c>
      <c r="M1" s="58" t="s">
        <v>63</v>
      </c>
      <c r="N1" s="58" t="s">
        <v>64</v>
      </c>
      <c r="O1" s="58" t="s">
        <v>65</v>
      </c>
      <c r="P1" s="58" t="s">
        <v>66</v>
      </c>
      <c r="Q1" s="58" t="s">
        <v>67</v>
      </c>
      <c r="R1" s="58" t="s">
        <v>68</v>
      </c>
    </row>
    <row r="2" spans="1:21" hidden="1" x14ac:dyDescent="0.3">
      <c r="G2" s="57">
        <f>C3</f>
        <v>5.7692307692307696E-2</v>
      </c>
      <c r="H2" s="57">
        <f>C4</f>
        <v>7.6923076923076927E-2</v>
      </c>
      <c r="I2" s="57">
        <f>C5</f>
        <v>0.11538461538461539</v>
      </c>
      <c r="J2" s="57">
        <f>C6</f>
        <v>7.6923076923076927E-2</v>
      </c>
      <c r="K2" s="57">
        <f>C7</f>
        <v>7.6923076923076927E-2</v>
      </c>
      <c r="L2" s="57">
        <f>C8</f>
        <v>7.6923076923076927E-2</v>
      </c>
      <c r="M2" s="57">
        <f>C9</f>
        <v>7.6923076923076927E-2</v>
      </c>
      <c r="N2" s="57">
        <f>C10</f>
        <v>7.6923076923076927E-2</v>
      </c>
      <c r="O2" s="57">
        <f>C11</f>
        <v>0.11538461538461539</v>
      </c>
      <c r="P2" s="57">
        <f>C12</f>
        <v>7.6923076923076927E-2</v>
      </c>
      <c r="Q2" s="57">
        <f>C13</f>
        <v>7.6923076923076927E-2</v>
      </c>
      <c r="R2" s="57">
        <f>C14</f>
        <v>9.6153846153846159E-2</v>
      </c>
      <c r="S2" s="60" t="s">
        <v>69</v>
      </c>
    </row>
    <row r="3" spans="1:21" hidden="1" x14ac:dyDescent="0.3">
      <c r="A3" t="s">
        <v>57</v>
      </c>
      <c r="B3">
        <v>1.5</v>
      </c>
      <c r="C3">
        <f>B3/$B$15</f>
        <v>5.7692307692307696E-2</v>
      </c>
      <c r="E3" t="s">
        <v>31</v>
      </c>
      <c r="F3" s="24" t="e">
        <f>ROUND(#REF!,0)</f>
        <v>#REF!</v>
      </c>
      <c r="G3" s="25" t="e">
        <f>ROUND($F3*G$2,0)</f>
        <v>#REF!</v>
      </c>
      <c r="H3" s="25" t="e">
        <f t="shared" ref="H3:R3" si="0">ROUND($F3*H$2,0)</f>
        <v>#REF!</v>
      </c>
      <c r="I3" s="25" t="e">
        <f t="shared" si="0"/>
        <v>#REF!</v>
      </c>
      <c r="J3" s="25" t="e">
        <f t="shared" si="0"/>
        <v>#REF!</v>
      </c>
      <c r="K3" s="25" t="e">
        <f t="shared" si="0"/>
        <v>#REF!</v>
      </c>
      <c r="L3" s="25" t="e">
        <f t="shared" si="0"/>
        <v>#REF!</v>
      </c>
      <c r="M3" s="25" t="e">
        <f t="shared" si="0"/>
        <v>#REF!</v>
      </c>
      <c r="N3" s="25" t="e">
        <f t="shared" si="0"/>
        <v>#REF!</v>
      </c>
      <c r="O3" s="25" t="e">
        <f t="shared" si="0"/>
        <v>#REF!</v>
      </c>
      <c r="P3" s="25" t="e">
        <f t="shared" si="0"/>
        <v>#REF!</v>
      </c>
      <c r="Q3" s="25" t="e">
        <f t="shared" si="0"/>
        <v>#REF!</v>
      </c>
      <c r="R3" s="25" t="e">
        <f t="shared" si="0"/>
        <v>#REF!</v>
      </c>
      <c r="S3" s="61" t="e">
        <f>SUM(G3:R3)-F3</f>
        <v>#REF!</v>
      </c>
      <c r="U3" s="26"/>
    </row>
    <row r="4" spans="1:21" hidden="1" x14ac:dyDescent="0.3">
      <c r="A4" t="s">
        <v>58</v>
      </c>
      <c r="B4">
        <v>2</v>
      </c>
      <c r="C4">
        <f t="shared" ref="C4:C14" si="1">B4/$B$15</f>
        <v>7.6923076923076927E-2</v>
      </c>
      <c r="E4" t="s">
        <v>37</v>
      </c>
      <c r="F4" s="24" t="e">
        <f>ROUND(#REF!,0)</f>
        <v>#REF!</v>
      </c>
      <c r="G4" s="25" t="e">
        <f t="shared" ref="G4:R9" si="2">ROUND($F4*G$2,0)</f>
        <v>#REF!</v>
      </c>
      <c r="H4" s="25" t="e">
        <f t="shared" si="2"/>
        <v>#REF!</v>
      </c>
      <c r="I4" s="25" t="e">
        <f t="shared" si="2"/>
        <v>#REF!</v>
      </c>
      <c r="J4" s="25" t="e">
        <f t="shared" si="2"/>
        <v>#REF!</v>
      </c>
      <c r="K4" s="25" t="e">
        <f t="shared" si="2"/>
        <v>#REF!</v>
      </c>
      <c r="L4" s="25" t="e">
        <f t="shared" si="2"/>
        <v>#REF!</v>
      </c>
      <c r="M4" s="25" t="e">
        <f t="shared" si="2"/>
        <v>#REF!</v>
      </c>
      <c r="N4" s="25" t="e">
        <f t="shared" si="2"/>
        <v>#REF!</v>
      </c>
      <c r="O4" s="25" t="e">
        <f t="shared" si="2"/>
        <v>#REF!</v>
      </c>
      <c r="P4" s="25" t="e">
        <f t="shared" si="2"/>
        <v>#REF!</v>
      </c>
      <c r="Q4" s="25" t="e">
        <f t="shared" si="2"/>
        <v>#REF!</v>
      </c>
      <c r="R4" s="25" t="e">
        <f t="shared" si="2"/>
        <v>#REF!</v>
      </c>
      <c r="S4" s="61" t="e">
        <f t="shared" ref="S4:S10" si="3">SUM(G4:R4)-F4</f>
        <v>#REF!</v>
      </c>
      <c r="U4" s="26"/>
    </row>
    <row r="5" spans="1:21" hidden="1" x14ac:dyDescent="0.3">
      <c r="A5" t="s">
        <v>59</v>
      </c>
      <c r="B5">
        <v>3</v>
      </c>
      <c r="C5">
        <f t="shared" si="1"/>
        <v>0.11538461538461539</v>
      </c>
      <c r="E5" t="s">
        <v>50</v>
      </c>
      <c r="F5" s="24" t="e">
        <f>ROUND(#REF!,0)</f>
        <v>#REF!</v>
      </c>
      <c r="G5" s="25" t="e">
        <f t="shared" si="2"/>
        <v>#REF!</v>
      </c>
      <c r="H5" s="25" t="e">
        <f t="shared" si="2"/>
        <v>#REF!</v>
      </c>
      <c r="I5" s="25" t="e">
        <f t="shared" si="2"/>
        <v>#REF!</v>
      </c>
      <c r="J5" s="25" t="e">
        <f t="shared" si="2"/>
        <v>#REF!</v>
      </c>
      <c r="K5" s="25" t="e">
        <f t="shared" si="2"/>
        <v>#REF!</v>
      </c>
      <c r="L5" s="25" t="e">
        <f t="shared" si="2"/>
        <v>#REF!</v>
      </c>
      <c r="M5" s="25" t="e">
        <f t="shared" si="2"/>
        <v>#REF!</v>
      </c>
      <c r="N5" s="25" t="e">
        <f t="shared" si="2"/>
        <v>#REF!</v>
      </c>
      <c r="O5" s="25" t="e">
        <f t="shared" si="2"/>
        <v>#REF!</v>
      </c>
      <c r="P5" s="25" t="e">
        <f t="shared" si="2"/>
        <v>#REF!</v>
      </c>
      <c r="Q5" s="25" t="e">
        <f t="shared" si="2"/>
        <v>#REF!</v>
      </c>
      <c r="R5" s="25" t="e">
        <f t="shared" si="2"/>
        <v>#REF!</v>
      </c>
      <c r="S5" s="61" t="e">
        <f t="shared" si="3"/>
        <v>#REF!</v>
      </c>
      <c r="U5" s="26"/>
    </row>
    <row r="6" spans="1:21" hidden="1" x14ac:dyDescent="0.3">
      <c r="A6" t="s">
        <v>60</v>
      </c>
      <c r="B6">
        <v>2</v>
      </c>
      <c r="C6">
        <f t="shared" si="1"/>
        <v>7.6923076923076927E-2</v>
      </c>
      <c r="E6" t="s">
        <v>33</v>
      </c>
      <c r="F6" s="24" t="e">
        <f>ROUND(#REF!,0)</f>
        <v>#REF!</v>
      </c>
      <c r="G6" s="25" t="e">
        <f t="shared" si="2"/>
        <v>#REF!</v>
      </c>
      <c r="H6" s="25" t="e">
        <f t="shared" si="2"/>
        <v>#REF!</v>
      </c>
      <c r="I6" s="25" t="e">
        <f t="shared" si="2"/>
        <v>#REF!</v>
      </c>
      <c r="J6" s="25" t="e">
        <f t="shared" si="2"/>
        <v>#REF!</v>
      </c>
      <c r="K6" s="25" t="e">
        <f t="shared" si="2"/>
        <v>#REF!</v>
      </c>
      <c r="L6" s="25" t="e">
        <f t="shared" si="2"/>
        <v>#REF!</v>
      </c>
      <c r="M6" s="25" t="e">
        <f t="shared" si="2"/>
        <v>#REF!</v>
      </c>
      <c r="N6" s="25" t="e">
        <f t="shared" si="2"/>
        <v>#REF!</v>
      </c>
      <c r="O6" s="25" t="e">
        <f t="shared" si="2"/>
        <v>#REF!</v>
      </c>
      <c r="P6" s="25" t="e">
        <f t="shared" si="2"/>
        <v>#REF!</v>
      </c>
      <c r="Q6" s="25" t="e">
        <f t="shared" si="2"/>
        <v>#REF!</v>
      </c>
      <c r="R6" s="25" t="e">
        <f t="shared" si="2"/>
        <v>#REF!</v>
      </c>
      <c r="S6" s="61" t="e">
        <f t="shared" si="3"/>
        <v>#REF!</v>
      </c>
      <c r="U6" s="26"/>
    </row>
    <row r="7" spans="1:21" hidden="1" x14ac:dyDescent="0.3">
      <c r="A7" t="s">
        <v>61</v>
      </c>
      <c r="B7">
        <v>2</v>
      </c>
      <c r="C7">
        <f t="shared" si="1"/>
        <v>7.6923076923076927E-2</v>
      </c>
      <c r="E7" t="s">
        <v>34</v>
      </c>
      <c r="F7" s="24" t="e">
        <f>ROUND(#REF!,0)</f>
        <v>#REF!</v>
      </c>
      <c r="G7" s="25" t="e">
        <f t="shared" si="2"/>
        <v>#REF!</v>
      </c>
      <c r="H7" s="25" t="e">
        <f t="shared" si="2"/>
        <v>#REF!</v>
      </c>
      <c r="I7" s="25" t="e">
        <f t="shared" si="2"/>
        <v>#REF!</v>
      </c>
      <c r="J7" s="25" t="e">
        <f t="shared" si="2"/>
        <v>#REF!</v>
      </c>
      <c r="K7" s="25" t="e">
        <f t="shared" si="2"/>
        <v>#REF!</v>
      </c>
      <c r="L7" s="25" t="e">
        <f t="shared" si="2"/>
        <v>#REF!</v>
      </c>
      <c r="M7" s="25" t="e">
        <f t="shared" si="2"/>
        <v>#REF!</v>
      </c>
      <c r="N7" s="25" t="e">
        <f t="shared" si="2"/>
        <v>#REF!</v>
      </c>
      <c r="O7" s="25" t="e">
        <f t="shared" si="2"/>
        <v>#REF!</v>
      </c>
      <c r="P7" s="25" t="e">
        <f t="shared" si="2"/>
        <v>#REF!</v>
      </c>
      <c r="Q7" s="25" t="e">
        <f t="shared" si="2"/>
        <v>#REF!</v>
      </c>
      <c r="R7" s="25" t="e">
        <f t="shared" si="2"/>
        <v>#REF!</v>
      </c>
      <c r="S7" s="61" t="e">
        <f t="shared" si="3"/>
        <v>#REF!</v>
      </c>
      <c r="U7" s="26"/>
    </row>
    <row r="8" spans="1:21" hidden="1" x14ac:dyDescent="0.3">
      <c r="A8" t="s">
        <v>62</v>
      </c>
      <c r="B8">
        <v>2</v>
      </c>
      <c r="C8">
        <f t="shared" si="1"/>
        <v>7.6923076923076927E-2</v>
      </c>
      <c r="E8" t="s">
        <v>35</v>
      </c>
      <c r="F8" s="24" t="e">
        <f>ROUND(#REF!,0)</f>
        <v>#REF!</v>
      </c>
      <c r="G8" s="25" t="e">
        <f t="shared" si="2"/>
        <v>#REF!</v>
      </c>
      <c r="H8" s="25" t="e">
        <f t="shared" si="2"/>
        <v>#REF!</v>
      </c>
      <c r="I8" s="25" t="e">
        <f t="shared" si="2"/>
        <v>#REF!</v>
      </c>
      <c r="J8" s="25" t="e">
        <f t="shared" si="2"/>
        <v>#REF!</v>
      </c>
      <c r="K8" s="25" t="e">
        <f t="shared" si="2"/>
        <v>#REF!</v>
      </c>
      <c r="L8" s="25" t="e">
        <f t="shared" si="2"/>
        <v>#REF!</v>
      </c>
      <c r="M8" s="25" t="e">
        <f t="shared" si="2"/>
        <v>#REF!</v>
      </c>
      <c r="N8" s="25" t="e">
        <f t="shared" si="2"/>
        <v>#REF!</v>
      </c>
      <c r="O8" s="25" t="e">
        <f t="shared" si="2"/>
        <v>#REF!</v>
      </c>
      <c r="P8" s="25" t="e">
        <f t="shared" si="2"/>
        <v>#REF!</v>
      </c>
      <c r="Q8" s="25" t="e">
        <f t="shared" si="2"/>
        <v>#REF!</v>
      </c>
      <c r="R8" s="25" t="e">
        <f t="shared" si="2"/>
        <v>#REF!</v>
      </c>
      <c r="S8" s="61" t="e">
        <f t="shared" si="3"/>
        <v>#REF!</v>
      </c>
    </row>
    <row r="9" spans="1:21" hidden="1" x14ac:dyDescent="0.3">
      <c r="A9" t="s">
        <v>63</v>
      </c>
      <c r="B9">
        <v>2</v>
      </c>
      <c r="C9">
        <f t="shared" si="1"/>
        <v>7.6923076923076927E-2</v>
      </c>
      <c r="E9" t="s">
        <v>77</v>
      </c>
      <c r="F9" s="24" t="e">
        <f>ROUND(#REF!,0)</f>
        <v>#REF!</v>
      </c>
      <c r="G9" s="25" t="e">
        <f t="shared" si="2"/>
        <v>#REF!</v>
      </c>
      <c r="H9" s="25" t="e">
        <f t="shared" si="2"/>
        <v>#REF!</v>
      </c>
      <c r="I9" s="25" t="e">
        <f t="shared" si="2"/>
        <v>#REF!</v>
      </c>
      <c r="J9" s="25" t="e">
        <f t="shared" si="2"/>
        <v>#REF!</v>
      </c>
      <c r="K9" s="25" t="e">
        <f t="shared" si="2"/>
        <v>#REF!</v>
      </c>
      <c r="L9" s="25" t="e">
        <f t="shared" si="2"/>
        <v>#REF!</v>
      </c>
      <c r="M9" s="25" t="e">
        <f t="shared" si="2"/>
        <v>#REF!</v>
      </c>
      <c r="N9" s="25" t="e">
        <f t="shared" si="2"/>
        <v>#REF!</v>
      </c>
      <c r="O9" s="25" t="e">
        <f t="shared" si="2"/>
        <v>#REF!</v>
      </c>
      <c r="P9" s="25" t="e">
        <f t="shared" si="2"/>
        <v>#REF!</v>
      </c>
      <c r="Q9" s="25" t="e">
        <f t="shared" si="2"/>
        <v>#REF!</v>
      </c>
      <c r="R9" s="25" t="e">
        <f t="shared" si="2"/>
        <v>#REF!</v>
      </c>
      <c r="S9" s="61" t="e">
        <f t="shared" si="3"/>
        <v>#REF!</v>
      </c>
    </row>
    <row r="10" spans="1:21" hidden="1" x14ac:dyDescent="0.3">
      <c r="A10" t="s">
        <v>64</v>
      </c>
      <c r="B10">
        <v>2</v>
      </c>
      <c r="C10">
        <f t="shared" si="1"/>
        <v>7.6923076923076927E-2</v>
      </c>
      <c r="F10" s="27" t="e">
        <f>SUM(F3:F9)</f>
        <v>#REF!</v>
      </c>
      <c r="G10" s="27" t="e">
        <f t="shared" ref="G10:R10" si="4">SUM(G3:G9)</f>
        <v>#REF!</v>
      </c>
      <c r="H10" s="27" t="e">
        <f t="shared" si="4"/>
        <v>#REF!</v>
      </c>
      <c r="I10" s="27" t="e">
        <f t="shared" si="4"/>
        <v>#REF!</v>
      </c>
      <c r="J10" s="27" t="e">
        <f t="shared" si="4"/>
        <v>#REF!</v>
      </c>
      <c r="K10" s="27" t="e">
        <f t="shared" si="4"/>
        <v>#REF!</v>
      </c>
      <c r="L10" s="27" t="e">
        <f t="shared" si="4"/>
        <v>#REF!</v>
      </c>
      <c r="M10" s="27" t="e">
        <f t="shared" si="4"/>
        <v>#REF!</v>
      </c>
      <c r="N10" s="27" t="e">
        <f t="shared" si="4"/>
        <v>#REF!</v>
      </c>
      <c r="O10" s="27" t="e">
        <f t="shared" si="4"/>
        <v>#REF!</v>
      </c>
      <c r="P10" s="27" t="e">
        <f t="shared" si="4"/>
        <v>#REF!</v>
      </c>
      <c r="Q10" s="27" t="e">
        <f t="shared" si="4"/>
        <v>#REF!</v>
      </c>
      <c r="R10" s="27" t="e">
        <f t="shared" si="4"/>
        <v>#REF!</v>
      </c>
      <c r="S10" s="61" t="e">
        <f t="shared" si="3"/>
        <v>#REF!</v>
      </c>
    </row>
    <row r="11" spans="1:21" hidden="1" x14ac:dyDescent="0.3">
      <c r="A11" t="s">
        <v>65</v>
      </c>
      <c r="B11">
        <v>3</v>
      </c>
      <c r="C11">
        <f t="shared" si="1"/>
        <v>0.11538461538461539</v>
      </c>
    </row>
    <row r="12" spans="1:21" hidden="1" x14ac:dyDescent="0.3">
      <c r="A12" t="s">
        <v>66</v>
      </c>
      <c r="B12">
        <v>2</v>
      </c>
      <c r="C12">
        <f t="shared" si="1"/>
        <v>7.6923076923076927E-2</v>
      </c>
    </row>
    <row r="13" spans="1:21" hidden="1" x14ac:dyDescent="0.3">
      <c r="A13" t="s">
        <v>67</v>
      </c>
      <c r="B13">
        <v>2</v>
      </c>
      <c r="C13">
        <f t="shared" si="1"/>
        <v>7.6923076923076927E-2</v>
      </c>
    </row>
    <row r="14" spans="1:21" hidden="1" x14ac:dyDescent="0.3">
      <c r="A14" t="s">
        <v>68</v>
      </c>
      <c r="B14">
        <v>2.5</v>
      </c>
      <c r="C14">
        <f t="shared" si="1"/>
        <v>9.6153846153846159E-2</v>
      </c>
    </row>
    <row r="15" spans="1:21" hidden="1" x14ac:dyDescent="0.3">
      <c r="B15" s="28">
        <f>SUM(B3:B14)</f>
        <v>26</v>
      </c>
      <c r="C15" s="62">
        <f>SUM(C2:C14)</f>
        <v>0.99999999999999989</v>
      </c>
    </row>
    <row r="17" spans="1:19" x14ac:dyDescent="0.3">
      <c r="G17">
        <f>G19-C20</f>
        <v>0</v>
      </c>
      <c r="H17">
        <f>H19-C21</f>
        <v>0</v>
      </c>
      <c r="I17">
        <f>I19-C22</f>
        <v>0</v>
      </c>
      <c r="J17">
        <f>J19-C23</f>
        <v>0</v>
      </c>
      <c r="K17">
        <f>C24-K19</f>
        <v>0</v>
      </c>
      <c r="L17">
        <f>L19-C25</f>
        <v>0</v>
      </c>
      <c r="M17">
        <f>M19-C26</f>
        <v>0</v>
      </c>
      <c r="N17">
        <f>N19-C27</f>
        <v>0</v>
      </c>
      <c r="O17">
        <f>O19-C28</f>
        <v>0</v>
      </c>
      <c r="P17">
        <f>P19-C29</f>
        <v>0</v>
      </c>
      <c r="Q17">
        <f>Q19-C30</f>
        <v>0</v>
      </c>
      <c r="R17">
        <f>R19-C31</f>
        <v>0</v>
      </c>
    </row>
    <row r="18" spans="1:19" ht="18" x14ac:dyDescent="0.35">
      <c r="A18" s="64" t="s">
        <v>54</v>
      </c>
      <c r="B18" s="64" t="s">
        <v>55</v>
      </c>
      <c r="C18" s="64" t="s">
        <v>56</v>
      </c>
      <c r="E18" s="66" t="s">
        <v>94</v>
      </c>
      <c r="G18" s="58" t="s">
        <v>57</v>
      </c>
      <c r="H18" s="58" t="s">
        <v>58</v>
      </c>
      <c r="I18" s="58" t="s">
        <v>59</v>
      </c>
      <c r="J18" s="58" t="s">
        <v>60</v>
      </c>
      <c r="K18" s="58" t="s">
        <v>61</v>
      </c>
      <c r="L18" s="58" t="s">
        <v>62</v>
      </c>
      <c r="M18" s="58" t="s">
        <v>63</v>
      </c>
      <c r="N18" s="58" t="s">
        <v>64</v>
      </c>
      <c r="O18" s="58" t="s">
        <v>65</v>
      </c>
      <c r="P18" s="58" t="s">
        <v>66</v>
      </c>
      <c r="Q18" s="58" t="s">
        <v>67</v>
      </c>
      <c r="R18" s="58" t="s">
        <v>68</v>
      </c>
    </row>
    <row r="19" spans="1:19" x14ac:dyDescent="0.3">
      <c r="G19" s="65">
        <f>$C20/$C$32</f>
        <v>4.5977011494252873E-2</v>
      </c>
      <c r="H19" s="65">
        <f>$C21/$C$32</f>
        <v>0.1149425287356322</v>
      </c>
      <c r="I19" s="65">
        <f>$C22/$C$32</f>
        <v>7.6628352490421464E-2</v>
      </c>
      <c r="J19" s="65">
        <f>$C23/$C$32</f>
        <v>7.6628352490421464E-2</v>
      </c>
      <c r="K19" s="65">
        <f>$C24/$C$32</f>
        <v>7.6628352490421464E-2</v>
      </c>
      <c r="L19" s="65">
        <f>$C25/$C$32</f>
        <v>7.6628352490421464E-2</v>
      </c>
      <c r="M19" s="65">
        <f>$C26/$C$32</f>
        <v>0.1149425287356322</v>
      </c>
      <c r="N19" s="65">
        <f>$C27/$C$32</f>
        <v>7.6628352490421464E-2</v>
      </c>
      <c r="O19" s="65">
        <f>$C28/$C$32</f>
        <v>7.6628352490421464E-2</v>
      </c>
      <c r="P19" s="65">
        <f>$C29/$C$32</f>
        <v>7.6628352490421464E-2</v>
      </c>
      <c r="Q19" s="65">
        <f>$C30/$C$32</f>
        <v>7.6628352490421464E-2</v>
      </c>
      <c r="R19" s="65">
        <f>$C31/$C$32</f>
        <v>0.11111111111111112</v>
      </c>
      <c r="S19" s="60" t="s">
        <v>69</v>
      </c>
    </row>
    <row r="20" spans="1:19" x14ac:dyDescent="0.3">
      <c r="A20" t="s">
        <v>57</v>
      </c>
      <c r="B20">
        <v>1.2</v>
      </c>
      <c r="C20">
        <v>4.5977011494252873E-2</v>
      </c>
      <c r="E20" t="s">
        <v>31</v>
      </c>
      <c r="F20" s="232"/>
      <c r="G20" s="25">
        <f>ROUND($F20*G$19,0)</f>
        <v>0</v>
      </c>
      <c r="H20" s="25">
        <f t="shared" ref="H20:R26" si="5">ROUND($F20*H$19,0)</f>
        <v>0</v>
      </c>
      <c r="I20" s="25">
        <f t="shared" si="5"/>
        <v>0</v>
      </c>
      <c r="J20" s="25">
        <f t="shared" si="5"/>
        <v>0</v>
      </c>
      <c r="K20" s="25">
        <f t="shared" si="5"/>
        <v>0</v>
      </c>
      <c r="L20" s="25">
        <f t="shared" si="5"/>
        <v>0</v>
      </c>
      <c r="M20" s="25">
        <f t="shared" si="5"/>
        <v>0</v>
      </c>
      <c r="N20" s="25">
        <f t="shared" si="5"/>
        <v>0</v>
      </c>
      <c r="O20" s="25">
        <f t="shared" si="5"/>
        <v>0</v>
      </c>
      <c r="P20" s="25">
        <f t="shared" si="5"/>
        <v>0</v>
      </c>
      <c r="Q20" s="25">
        <f t="shared" si="5"/>
        <v>0</v>
      </c>
      <c r="R20" s="25">
        <f t="shared" si="5"/>
        <v>0</v>
      </c>
      <c r="S20" s="61">
        <f>SUM(G20:R20)-F20</f>
        <v>0</v>
      </c>
    </row>
    <row r="21" spans="1:19" x14ac:dyDescent="0.3">
      <c r="A21" t="s">
        <v>58</v>
      </c>
      <c r="B21">
        <v>3</v>
      </c>
      <c r="C21">
        <v>0.1149425287356322</v>
      </c>
      <c r="E21" t="s">
        <v>37</v>
      </c>
      <c r="F21" s="232"/>
      <c r="G21" s="25">
        <f t="shared" ref="G21:G26" si="6">ROUND($F21*G$19,0)</f>
        <v>0</v>
      </c>
      <c r="H21" s="25">
        <f t="shared" si="5"/>
        <v>0</v>
      </c>
      <c r="I21" s="25">
        <f t="shared" si="5"/>
        <v>0</v>
      </c>
      <c r="J21" s="25">
        <f t="shared" si="5"/>
        <v>0</v>
      </c>
      <c r="K21" s="25">
        <f t="shared" si="5"/>
        <v>0</v>
      </c>
      <c r="L21" s="25">
        <f t="shared" si="5"/>
        <v>0</v>
      </c>
      <c r="M21" s="25">
        <f t="shared" si="5"/>
        <v>0</v>
      </c>
      <c r="N21" s="25">
        <f t="shared" si="5"/>
        <v>0</v>
      </c>
      <c r="O21" s="25">
        <f t="shared" si="5"/>
        <v>0</v>
      </c>
      <c r="P21" s="25">
        <f t="shared" si="5"/>
        <v>0</v>
      </c>
      <c r="Q21" s="25">
        <f t="shared" si="5"/>
        <v>0</v>
      </c>
      <c r="R21" s="25">
        <f t="shared" si="5"/>
        <v>0</v>
      </c>
      <c r="S21" s="61">
        <f t="shared" ref="S21:S27" si="7">SUM(G21:R21)-F21</f>
        <v>0</v>
      </c>
    </row>
    <row r="22" spans="1:19" x14ac:dyDescent="0.3">
      <c r="A22" t="s">
        <v>59</v>
      </c>
      <c r="B22">
        <v>2</v>
      </c>
      <c r="C22">
        <v>7.6628352490421464E-2</v>
      </c>
      <c r="E22" t="s">
        <v>50</v>
      </c>
      <c r="F22" s="232"/>
      <c r="G22" s="25">
        <f t="shared" si="6"/>
        <v>0</v>
      </c>
      <c r="H22" s="25">
        <f t="shared" si="5"/>
        <v>0</v>
      </c>
      <c r="I22" s="25">
        <f t="shared" si="5"/>
        <v>0</v>
      </c>
      <c r="J22" s="25">
        <f t="shared" si="5"/>
        <v>0</v>
      </c>
      <c r="K22" s="25">
        <f t="shared" si="5"/>
        <v>0</v>
      </c>
      <c r="L22" s="25">
        <f t="shared" si="5"/>
        <v>0</v>
      </c>
      <c r="M22" s="25">
        <f t="shared" si="5"/>
        <v>0</v>
      </c>
      <c r="N22" s="25">
        <f t="shared" si="5"/>
        <v>0</v>
      </c>
      <c r="O22" s="25">
        <f t="shared" si="5"/>
        <v>0</v>
      </c>
      <c r="P22" s="25">
        <f t="shared" si="5"/>
        <v>0</v>
      </c>
      <c r="Q22" s="25">
        <f t="shared" si="5"/>
        <v>0</v>
      </c>
      <c r="R22" s="25">
        <f t="shared" si="5"/>
        <v>0</v>
      </c>
      <c r="S22" s="61">
        <f t="shared" si="7"/>
        <v>0</v>
      </c>
    </row>
    <row r="23" spans="1:19" x14ac:dyDescent="0.3">
      <c r="A23" t="s">
        <v>60</v>
      </c>
      <c r="B23">
        <v>2</v>
      </c>
      <c r="C23">
        <v>7.6628352490421464E-2</v>
      </c>
      <c r="E23" t="s">
        <v>33</v>
      </c>
      <c r="F23" s="232"/>
      <c r="G23" s="25">
        <f>ROUND($F23*G$19,0)</f>
        <v>0</v>
      </c>
      <c r="H23" s="25">
        <f t="shared" si="5"/>
        <v>0</v>
      </c>
      <c r="I23" s="25">
        <f t="shared" si="5"/>
        <v>0</v>
      </c>
      <c r="J23" s="25">
        <f t="shared" si="5"/>
        <v>0</v>
      </c>
      <c r="K23" s="25">
        <f t="shared" si="5"/>
        <v>0</v>
      </c>
      <c r="L23" s="25">
        <f t="shared" si="5"/>
        <v>0</v>
      </c>
      <c r="M23" s="25">
        <f t="shared" si="5"/>
        <v>0</v>
      </c>
      <c r="N23" s="25">
        <f t="shared" si="5"/>
        <v>0</v>
      </c>
      <c r="O23" s="25">
        <f t="shared" si="5"/>
        <v>0</v>
      </c>
      <c r="P23" s="25">
        <f t="shared" si="5"/>
        <v>0</v>
      </c>
      <c r="Q23" s="25">
        <f t="shared" si="5"/>
        <v>0</v>
      </c>
      <c r="R23" s="25">
        <f t="shared" si="5"/>
        <v>0</v>
      </c>
      <c r="S23" s="61">
        <f t="shared" si="7"/>
        <v>0</v>
      </c>
    </row>
    <row r="24" spans="1:19" x14ac:dyDescent="0.3">
      <c r="A24" t="s">
        <v>61</v>
      </c>
      <c r="B24">
        <v>2</v>
      </c>
      <c r="C24">
        <v>7.6628352490421464E-2</v>
      </c>
      <c r="E24" t="s">
        <v>34</v>
      </c>
      <c r="F24" s="232"/>
      <c r="G24" s="25">
        <f t="shared" si="6"/>
        <v>0</v>
      </c>
      <c r="H24" s="25">
        <f t="shared" si="5"/>
        <v>0</v>
      </c>
      <c r="I24" s="25">
        <f t="shared" si="5"/>
        <v>0</v>
      </c>
      <c r="J24" s="25">
        <f t="shared" si="5"/>
        <v>0</v>
      </c>
      <c r="K24" s="25">
        <f t="shared" si="5"/>
        <v>0</v>
      </c>
      <c r="L24" s="25">
        <f t="shared" si="5"/>
        <v>0</v>
      </c>
      <c r="M24" s="25">
        <f t="shared" si="5"/>
        <v>0</v>
      </c>
      <c r="N24" s="25">
        <f t="shared" si="5"/>
        <v>0</v>
      </c>
      <c r="O24" s="25">
        <f t="shared" si="5"/>
        <v>0</v>
      </c>
      <c r="P24" s="25">
        <f t="shared" si="5"/>
        <v>0</v>
      </c>
      <c r="Q24" s="25">
        <f t="shared" si="5"/>
        <v>0</v>
      </c>
      <c r="R24" s="25">
        <f t="shared" si="5"/>
        <v>0</v>
      </c>
      <c r="S24" s="61">
        <f t="shared" si="7"/>
        <v>0</v>
      </c>
    </row>
    <row r="25" spans="1:19" x14ac:dyDescent="0.3">
      <c r="A25" t="s">
        <v>62</v>
      </c>
      <c r="B25">
        <v>2</v>
      </c>
      <c r="C25">
        <v>7.6628352490421464E-2</v>
      </c>
      <c r="E25" t="s">
        <v>35</v>
      </c>
      <c r="F25" s="232"/>
      <c r="G25" s="25">
        <f t="shared" si="6"/>
        <v>0</v>
      </c>
      <c r="H25" s="25">
        <f t="shared" si="5"/>
        <v>0</v>
      </c>
      <c r="I25" s="25">
        <f t="shared" si="5"/>
        <v>0</v>
      </c>
      <c r="J25" s="25">
        <f t="shared" si="5"/>
        <v>0</v>
      </c>
      <c r="K25" s="25">
        <f t="shared" si="5"/>
        <v>0</v>
      </c>
      <c r="L25" s="25">
        <f t="shared" si="5"/>
        <v>0</v>
      </c>
      <c r="M25" s="25">
        <f t="shared" si="5"/>
        <v>0</v>
      </c>
      <c r="N25" s="25">
        <f t="shared" si="5"/>
        <v>0</v>
      </c>
      <c r="O25" s="25">
        <f t="shared" si="5"/>
        <v>0</v>
      </c>
      <c r="P25" s="25">
        <f t="shared" si="5"/>
        <v>0</v>
      </c>
      <c r="Q25" s="25">
        <f t="shared" si="5"/>
        <v>0</v>
      </c>
      <c r="R25" s="25">
        <f t="shared" si="5"/>
        <v>0</v>
      </c>
      <c r="S25" s="61">
        <f t="shared" si="7"/>
        <v>0</v>
      </c>
    </row>
    <row r="26" spans="1:19" x14ac:dyDescent="0.3">
      <c r="A26" t="s">
        <v>63</v>
      </c>
      <c r="B26">
        <v>3</v>
      </c>
      <c r="C26">
        <v>0.1149425287356322</v>
      </c>
      <c r="E26" t="s">
        <v>77</v>
      </c>
      <c r="F26" s="232"/>
      <c r="G26" s="25">
        <f t="shared" si="6"/>
        <v>0</v>
      </c>
      <c r="H26" s="25">
        <f t="shared" si="5"/>
        <v>0</v>
      </c>
      <c r="I26" s="25">
        <f t="shared" si="5"/>
        <v>0</v>
      </c>
      <c r="J26" s="25">
        <f t="shared" si="5"/>
        <v>0</v>
      </c>
      <c r="K26" s="25">
        <f t="shared" si="5"/>
        <v>0</v>
      </c>
      <c r="L26" s="25">
        <f t="shared" si="5"/>
        <v>0</v>
      </c>
      <c r="M26" s="25">
        <f t="shared" si="5"/>
        <v>0</v>
      </c>
      <c r="N26" s="25">
        <f t="shared" si="5"/>
        <v>0</v>
      </c>
      <c r="O26" s="25">
        <f t="shared" si="5"/>
        <v>0</v>
      </c>
      <c r="P26" s="25">
        <f t="shared" si="5"/>
        <v>0</v>
      </c>
      <c r="Q26" s="25">
        <f t="shared" si="5"/>
        <v>0</v>
      </c>
      <c r="R26" s="25">
        <f t="shared" si="5"/>
        <v>0</v>
      </c>
      <c r="S26" s="61">
        <f t="shared" si="7"/>
        <v>0</v>
      </c>
    </row>
    <row r="27" spans="1:19" x14ac:dyDescent="0.3">
      <c r="A27" t="s">
        <v>64</v>
      </c>
      <c r="B27">
        <v>2</v>
      </c>
      <c r="C27">
        <v>7.6628352490421464E-2</v>
      </c>
      <c r="F27" s="27">
        <f>SUM(F20:F26)</f>
        <v>0</v>
      </c>
      <c r="G27" s="27">
        <f t="shared" ref="G27" si="8">SUM(G20:G26)</f>
        <v>0</v>
      </c>
      <c r="H27" s="27">
        <f t="shared" ref="H27" si="9">SUM(H20:H26)</f>
        <v>0</v>
      </c>
      <c r="I27" s="27">
        <f t="shared" ref="I27" si="10">SUM(I20:I26)</f>
        <v>0</v>
      </c>
      <c r="J27" s="27">
        <f t="shared" ref="J27" si="11">SUM(J20:J26)</f>
        <v>0</v>
      </c>
      <c r="K27" s="27">
        <f t="shared" ref="K27" si="12">SUM(K20:K26)</f>
        <v>0</v>
      </c>
      <c r="L27" s="27">
        <f t="shared" ref="L27" si="13">SUM(L20:L26)</f>
        <v>0</v>
      </c>
      <c r="M27" s="27">
        <f t="shared" ref="M27" si="14">SUM(M20:M26)</f>
        <v>0</v>
      </c>
      <c r="N27" s="27">
        <f t="shared" ref="N27" si="15">SUM(N20:N26)</f>
        <v>0</v>
      </c>
      <c r="O27" s="27">
        <f t="shared" ref="O27" si="16">SUM(O20:O26)</f>
        <v>0</v>
      </c>
      <c r="P27" s="27">
        <f t="shared" ref="P27" si="17">SUM(P20:P26)</f>
        <v>0</v>
      </c>
      <c r="Q27" s="27">
        <f t="shared" ref="Q27" si="18">SUM(Q20:Q26)</f>
        <v>0</v>
      </c>
      <c r="R27" s="27">
        <f t="shared" ref="R27" si="19">SUM(R20:R26)</f>
        <v>0</v>
      </c>
      <c r="S27" s="61">
        <f t="shared" si="7"/>
        <v>0</v>
      </c>
    </row>
    <row r="28" spans="1:19" x14ac:dyDescent="0.3">
      <c r="A28" t="s">
        <v>65</v>
      </c>
      <c r="B28">
        <v>2</v>
      </c>
      <c r="C28">
        <v>7.6628352490421464E-2</v>
      </c>
    </row>
    <row r="29" spans="1:19" x14ac:dyDescent="0.3">
      <c r="A29" t="s">
        <v>66</v>
      </c>
      <c r="B29">
        <v>2</v>
      </c>
      <c r="C29">
        <v>7.6628352490421464E-2</v>
      </c>
    </row>
    <row r="30" spans="1:19" x14ac:dyDescent="0.3">
      <c r="A30" t="s">
        <v>67</v>
      </c>
      <c r="B30">
        <v>2</v>
      </c>
      <c r="C30">
        <v>7.6628352490421464E-2</v>
      </c>
    </row>
    <row r="31" spans="1:19" x14ac:dyDescent="0.3">
      <c r="A31" t="s">
        <v>68</v>
      </c>
      <c r="B31">
        <v>2.9</v>
      </c>
      <c r="C31">
        <v>0.11111111111111112</v>
      </c>
    </row>
    <row r="32" spans="1:19" x14ac:dyDescent="0.3">
      <c r="B32" s="28">
        <f>SUM(B20:B31)</f>
        <v>26.099999999999998</v>
      </c>
      <c r="C32" s="62">
        <f>SUM(C19:C31)</f>
        <v>1</v>
      </c>
    </row>
    <row r="33" spans="1:19" x14ac:dyDescent="0.3">
      <c r="G33">
        <f>G35-C36</f>
        <v>0</v>
      </c>
      <c r="H33">
        <f>H35-C37</f>
        <v>0</v>
      </c>
      <c r="I33">
        <f>I35-C38</f>
        <v>0</v>
      </c>
      <c r="J33">
        <f>J35-C39</f>
        <v>0</v>
      </c>
      <c r="K33">
        <f>C40-K35</f>
        <v>0</v>
      </c>
      <c r="L33">
        <f>L35-C41</f>
        <v>0</v>
      </c>
      <c r="M33">
        <f>M35-C42</f>
        <v>0</v>
      </c>
      <c r="N33">
        <f>N35-C43</f>
        <v>0</v>
      </c>
      <c r="O33">
        <f>O35-C44</f>
        <v>0</v>
      </c>
      <c r="P33">
        <f>P35-C45</f>
        <v>0</v>
      </c>
      <c r="Q33">
        <f>Q35-C46</f>
        <v>0</v>
      </c>
      <c r="R33">
        <f>R35-C47</f>
        <v>0</v>
      </c>
    </row>
    <row r="34" spans="1:19" ht="18" x14ac:dyDescent="0.35">
      <c r="A34" s="98" t="s">
        <v>54</v>
      </c>
      <c r="B34" s="98" t="s">
        <v>55</v>
      </c>
      <c r="C34" s="98" t="s">
        <v>56</v>
      </c>
      <c r="E34" s="99" t="s">
        <v>95</v>
      </c>
      <c r="G34" s="58" t="s">
        <v>57</v>
      </c>
      <c r="H34" s="58" t="s">
        <v>58</v>
      </c>
      <c r="I34" s="58" t="s">
        <v>59</v>
      </c>
      <c r="J34" s="58" t="s">
        <v>60</v>
      </c>
      <c r="K34" s="58" t="s">
        <v>61</v>
      </c>
      <c r="L34" s="58" t="s">
        <v>62</v>
      </c>
      <c r="M34" s="58" t="s">
        <v>63</v>
      </c>
      <c r="N34" s="58" t="s">
        <v>64</v>
      </c>
      <c r="O34" s="58" t="s">
        <v>65</v>
      </c>
      <c r="P34" s="58" t="s">
        <v>66</v>
      </c>
      <c r="Q34" s="58" t="s">
        <v>67</v>
      </c>
      <c r="R34" s="58" t="s">
        <v>68</v>
      </c>
    </row>
    <row r="35" spans="1:19" x14ac:dyDescent="0.3">
      <c r="G35" s="100">
        <f>$C36/$C$48</f>
        <v>8.0459770114942541E-2</v>
      </c>
      <c r="H35" s="100">
        <f>$C37/$C$48</f>
        <v>7.6628352490421464E-2</v>
      </c>
      <c r="I35" s="100">
        <f>$C38/$C$48</f>
        <v>7.6628352490421464E-2</v>
      </c>
      <c r="J35" s="100">
        <f>$C39/$C$48</f>
        <v>7.6628352490421464E-2</v>
      </c>
      <c r="K35" s="100">
        <f>$C40/$C$48</f>
        <v>7.6628352490421464E-2</v>
      </c>
      <c r="L35" s="100">
        <f>$C41/$C$48</f>
        <v>7.6628352490421464E-2</v>
      </c>
      <c r="M35" s="100">
        <f>$C42/$C$48</f>
        <v>0.11494252873563221</v>
      </c>
      <c r="N35" s="100">
        <f>$C43/$C$48</f>
        <v>7.6628352490421464E-2</v>
      </c>
      <c r="O35" s="100">
        <f>$C44/$C$48</f>
        <v>7.6628352490421464E-2</v>
      </c>
      <c r="P35" s="100">
        <f>$C45/$C$48</f>
        <v>7.6628352490421464E-2</v>
      </c>
      <c r="Q35" s="100">
        <f>$C46/$C$48</f>
        <v>7.6628352490421464E-2</v>
      </c>
      <c r="R35" s="100">
        <f>$C47/$C$48</f>
        <v>0.11494252873563221</v>
      </c>
      <c r="S35" s="60" t="s">
        <v>69</v>
      </c>
    </row>
    <row r="36" spans="1:19" x14ac:dyDescent="0.3">
      <c r="A36" t="s">
        <v>57</v>
      </c>
      <c r="B36">
        <v>2.1</v>
      </c>
      <c r="C36">
        <v>8.0459770114942528E-2</v>
      </c>
      <c r="E36" t="s">
        <v>31</v>
      </c>
      <c r="F36" s="232">
        <f>VLOOKUP(E:E,'2024-25 FY - EA 2022 Y3'!V:AH,3,FALSE)</f>
        <v>64110</v>
      </c>
      <c r="G36" s="25">
        <f>ROUND($F36*G$35,0)</f>
        <v>5158</v>
      </c>
      <c r="H36" s="25">
        <f t="shared" ref="H36:R42" si="20">ROUND($F36*H$35,0)</f>
        <v>4913</v>
      </c>
      <c r="I36" s="25">
        <f t="shared" si="20"/>
        <v>4913</v>
      </c>
      <c r="J36" s="25">
        <f t="shared" si="20"/>
        <v>4913</v>
      </c>
      <c r="K36" s="25">
        <f t="shared" si="20"/>
        <v>4913</v>
      </c>
      <c r="L36" s="25">
        <f t="shared" si="20"/>
        <v>4913</v>
      </c>
      <c r="M36" s="25">
        <f t="shared" si="20"/>
        <v>7369</v>
      </c>
      <c r="N36" s="25">
        <f t="shared" si="20"/>
        <v>4913</v>
      </c>
      <c r="O36" s="25">
        <f t="shared" si="20"/>
        <v>4913</v>
      </c>
      <c r="P36" s="25">
        <f t="shared" si="20"/>
        <v>4913</v>
      </c>
      <c r="Q36" s="25">
        <f t="shared" si="20"/>
        <v>4913</v>
      </c>
      <c r="R36" s="25">
        <f t="shared" si="20"/>
        <v>7369</v>
      </c>
      <c r="S36" s="61">
        <f>SUM(G36:R36)-F36</f>
        <v>3</v>
      </c>
    </row>
    <row r="37" spans="1:19" x14ac:dyDescent="0.3">
      <c r="A37" t="s">
        <v>58</v>
      </c>
      <c r="B37">
        <v>2</v>
      </c>
      <c r="C37">
        <v>7.662835249042145E-2</v>
      </c>
      <c r="E37" t="s">
        <v>37</v>
      </c>
      <c r="F37" s="232">
        <f>VLOOKUP(E:E,'2024-25 FY - EA 2022 Y3'!V:AH,3,FALSE)</f>
        <v>0</v>
      </c>
      <c r="G37" s="25">
        <f t="shared" ref="G37:G42" si="21">ROUND($F37*G$35,0)</f>
        <v>0</v>
      </c>
      <c r="H37" s="25">
        <f>ROUND($F37*H$35,0)</f>
        <v>0</v>
      </c>
      <c r="I37" s="25">
        <f>ROUND($F37*I$35,0)</f>
        <v>0</v>
      </c>
      <c r="J37" s="25">
        <f t="shared" si="20"/>
        <v>0</v>
      </c>
      <c r="K37" s="25">
        <f t="shared" si="20"/>
        <v>0</v>
      </c>
      <c r="L37" s="25">
        <f t="shared" si="20"/>
        <v>0</v>
      </c>
      <c r="M37" s="25">
        <f t="shared" si="20"/>
        <v>0</v>
      </c>
      <c r="N37" s="25">
        <f t="shared" si="20"/>
        <v>0</v>
      </c>
      <c r="O37" s="25">
        <f t="shared" si="20"/>
        <v>0</v>
      </c>
      <c r="P37" s="25">
        <f t="shared" si="20"/>
        <v>0</v>
      </c>
      <c r="Q37" s="25">
        <f t="shared" si="20"/>
        <v>0</v>
      </c>
      <c r="R37" s="25">
        <f t="shared" si="20"/>
        <v>0</v>
      </c>
      <c r="S37" s="61">
        <f t="shared" ref="S37:S43" si="22">SUM(G37:R37)-F37</f>
        <v>0</v>
      </c>
    </row>
    <row r="38" spans="1:19" x14ac:dyDescent="0.3">
      <c r="A38" t="s">
        <v>59</v>
      </c>
      <c r="B38">
        <v>2</v>
      </c>
      <c r="C38">
        <v>7.662835249042145E-2</v>
      </c>
      <c r="E38" t="s">
        <v>50</v>
      </c>
      <c r="F38" s="232">
        <f>VLOOKUP(E:E,'2024-25 FY - EA 2022 Y3'!V:AH,3,FALSE)</f>
        <v>6277</v>
      </c>
      <c r="G38" s="25">
        <f t="shared" si="21"/>
        <v>505</v>
      </c>
      <c r="H38" s="25">
        <f t="shared" si="20"/>
        <v>481</v>
      </c>
      <c r="I38" s="25">
        <f t="shared" si="20"/>
        <v>481</v>
      </c>
      <c r="J38" s="25">
        <f t="shared" si="20"/>
        <v>481</v>
      </c>
      <c r="K38" s="25">
        <f t="shared" si="20"/>
        <v>481</v>
      </c>
      <c r="L38" s="25">
        <f t="shared" si="20"/>
        <v>481</v>
      </c>
      <c r="M38" s="25">
        <f t="shared" si="20"/>
        <v>721</v>
      </c>
      <c r="N38" s="25">
        <f t="shared" si="20"/>
        <v>481</v>
      </c>
      <c r="O38" s="25">
        <f t="shared" si="20"/>
        <v>481</v>
      </c>
      <c r="P38" s="25">
        <f t="shared" si="20"/>
        <v>481</v>
      </c>
      <c r="Q38" s="25">
        <f t="shared" si="20"/>
        <v>481</v>
      </c>
      <c r="R38" s="25">
        <f t="shared" si="20"/>
        <v>721</v>
      </c>
      <c r="S38" s="61">
        <f t="shared" si="22"/>
        <v>-1</v>
      </c>
    </row>
    <row r="39" spans="1:19" x14ac:dyDescent="0.3">
      <c r="A39" t="s">
        <v>60</v>
      </c>
      <c r="B39">
        <v>2</v>
      </c>
      <c r="C39">
        <v>7.662835249042145E-2</v>
      </c>
      <c r="E39" t="s">
        <v>33</v>
      </c>
      <c r="F39" s="232">
        <f>VLOOKUP(E:E,'2024-25 FY - EA 2022 Y3'!V:AH,3,FALSE)</f>
        <v>2256</v>
      </c>
      <c r="G39" s="25">
        <f t="shared" si="21"/>
        <v>182</v>
      </c>
      <c r="H39" s="25">
        <f t="shared" si="20"/>
        <v>173</v>
      </c>
      <c r="I39" s="25">
        <f t="shared" si="20"/>
        <v>173</v>
      </c>
      <c r="J39" s="25">
        <f t="shared" si="20"/>
        <v>173</v>
      </c>
      <c r="K39" s="25">
        <f t="shared" si="20"/>
        <v>173</v>
      </c>
      <c r="L39" s="25">
        <f t="shared" si="20"/>
        <v>173</v>
      </c>
      <c r="M39" s="25">
        <f>ROUND($F39*M$35,0)</f>
        <v>259</v>
      </c>
      <c r="N39" s="25">
        <f t="shared" si="20"/>
        <v>173</v>
      </c>
      <c r="O39" s="25">
        <f t="shared" si="20"/>
        <v>173</v>
      </c>
      <c r="P39" s="25">
        <f>ROUND($F39*P$35,0)</f>
        <v>173</v>
      </c>
      <c r="Q39" s="25">
        <f t="shared" si="20"/>
        <v>173</v>
      </c>
      <c r="R39" s="25">
        <f t="shared" si="20"/>
        <v>259</v>
      </c>
      <c r="S39" s="61">
        <f t="shared" si="22"/>
        <v>1</v>
      </c>
    </row>
    <row r="40" spans="1:19" x14ac:dyDescent="0.3">
      <c r="A40" t="s">
        <v>61</v>
      </c>
      <c r="B40">
        <v>2</v>
      </c>
      <c r="C40">
        <v>7.662835249042145E-2</v>
      </c>
      <c r="E40" t="s">
        <v>34</v>
      </c>
      <c r="F40" s="232">
        <f>VLOOKUP(E:E,'2024-25 FY - EA 2022 Y3'!V:AH,3,FALSE)</f>
        <v>8446</v>
      </c>
      <c r="G40" s="25">
        <f t="shared" si="21"/>
        <v>680</v>
      </c>
      <c r="H40" s="25">
        <f t="shared" si="20"/>
        <v>647</v>
      </c>
      <c r="I40" s="25">
        <f t="shared" si="20"/>
        <v>647</v>
      </c>
      <c r="J40" s="25">
        <f t="shared" si="20"/>
        <v>647</v>
      </c>
      <c r="K40" s="25">
        <f t="shared" si="20"/>
        <v>647</v>
      </c>
      <c r="L40" s="25">
        <f t="shared" si="20"/>
        <v>647</v>
      </c>
      <c r="M40" s="25">
        <f t="shared" si="20"/>
        <v>971</v>
      </c>
      <c r="N40" s="25">
        <f t="shared" si="20"/>
        <v>647</v>
      </c>
      <c r="O40" s="25">
        <f t="shared" si="20"/>
        <v>647</v>
      </c>
      <c r="P40" s="25">
        <f t="shared" si="20"/>
        <v>647</v>
      </c>
      <c r="Q40" s="25">
        <f t="shared" si="20"/>
        <v>647</v>
      </c>
      <c r="R40" s="25">
        <f t="shared" si="20"/>
        <v>971</v>
      </c>
      <c r="S40" s="61">
        <f t="shared" si="22"/>
        <v>-1</v>
      </c>
    </row>
    <row r="41" spans="1:19" x14ac:dyDescent="0.3">
      <c r="A41" t="s">
        <v>62</v>
      </c>
      <c r="B41">
        <v>2</v>
      </c>
      <c r="C41">
        <v>7.662835249042145E-2</v>
      </c>
      <c r="E41" t="s">
        <v>35</v>
      </c>
      <c r="F41" s="232">
        <f>VLOOKUP(E:E,'2024-25 FY - EA 2022 Y3'!V:AH,3,FALSE)</f>
        <v>1736</v>
      </c>
      <c r="G41" s="25">
        <f t="shared" si="21"/>
        <v>140</v>
      </c>
      <c r="H41" s="25">
        <f t="shared" si="20"/>
        <v>133</v>
      </c>
      <c r="I41" s="25">
        <f t="shared" si="20"/>
        <v>133</v>
      </c>
      <c r="J41" s="25">
        <f t="shared" si="20"/>
        <v>133</v>
      </c>
      <c r="K41" s="25">
        <f t="shared" si="20"/>
        <v>133</v>
      </c>
      <c r="L41" s="25">
        <f t="shared" si="20"/>
        <v>133</v>
      </c>
      <c r="M41" s="25">
        <f t="shared" si="20"/>
        <v>200</v>
      </c>
      <c r="N41" s="25">
        <f t="shared" si="20"/>
        <v>133</v>
      </c>
      <c r="O41" s="25">
        <f t="shared" si="20"/>
        <v>133</v>
      </c>
      <c r="P41" s="25">
        <f t="shared" si="20"/>
        <v>133</v>
      </c>
      <c r="Q41" s="25">
        <f t="shared" si="20"/>
        <v>133</v>
      </c>
      <c r="R41" s="25">
        <f t="shared" si="20"/>
        <v>200</v>
      </c>
      <c r="S41" s="61">
        <f t="shared" si="22"/>
        <v>1</v>
      </c>
    </row>
    <row r="42" spans="1:19" x14ac:dyDescent="0.3">
      <c r="A42" t="s">
        <v>63</v>
      </c>
      <c r="B42">
        <v>3</v>
      </c>
      <c r="C42">
        <v>0.11494252873563218</v>
      </c>
      <c r="E42" t="s">
        <v>77</v>
      </c>
      <c r="F42" s="232">
        <f>VLOOKUP(E:E,'2024-25 FY - EA 2022 Y3'!V:AH,3,FALSE)</f>
        <v>0</v>
      </c>
      <c r="G42" s="25">
        <f t="shared" si="21"/>
        <v>0</v>
      </c>
      <c r="H42" s="25">
        <f t="shared" si="20"/>
        <v>0</v>
      </c>
      <c r="I42" s="25">
        <f t="shared" si="20"/>
        <v>0</v>
      </c>
      <c r="J42" s="25">
        <f t="shared" si="20"/>
        <v>0</v>
      </c>
      <c r="K42" s="25">
        <f t="shared" si="20"/>
        <v>0</v>
      </c>
      <c r="L42" s="25">
        <f t="shared" si="20"/>
        <v>0</v>
      </c>
      <c r="M42" s="25">
        <f t="shared" si="20"/>
        <v>0</v>
      </c>
      <c r="N42" s="25">
        <f t="shared" si="20"/>
        <v>0</v>
      </c>
      <c r="O42" s="25">
        <f t="shared" si="20"/>
        <v>0</v>
      </c>
      <c r="P42" s="25">
        <f t="shared" si="20"/>
        <v>0</v>
      </c>
      <c r="Q42" s="25">
        <f t="shared" si="20"/>
        <v>0</v>
      </c>
      <c r="R42" s="25">
        <f t="shared" si="20"/>
        <v>0</v>
      </c>
      <c r="S42" s="61">
        <f t="shared" si="22"/>
        <v>0</v>
      </c>
    </row>
    <row r="43" spans="1:19" x14ac:dyDescent="0.3">
      <c r="A43" t="s">
        <v>64</v>
      </c>
      <c r="B43">
        <v>2</v>
      </c>
      <c r="C43">
        <v>7.662835249042145E-2</v>
      </c>
      <c r="F43" s="27">
        <f>SUM(F36:F42)</f>
        <v>82825</v>
      </c>
      <c r="G43" s="27">
        <f t="shared" ref="G43:R43" si="23">SUM(G36:G42)</f>
        <v>6665</v>
      </c>
      <c r="H43" s="27">
        <f t="shared" si="23"/>
        <v>6347</v>
      </c>
      <c r="I43" s="27">
        <f t="shared" si="23"/>
        <v>6347</v>
      </c>
      <c r="J43" s="27">
        <f t="shared" si="23"/>
        <v>6347</v>
      </c>
      <c r="K43" s="27">
        <f t="shared" si="23"/>
        <v>6347</v>
      </c>
      <c r="L43" s="27">
        <f t="shared" si="23"/>
        <v>6347</v>
      </c>
      <c r="M43" s="27">
        <f t="shared" si="23"/>
        <v>9520</v>
      </c>
      <c r="N43" s="27">
        <f t="shared" si="23"/>
        <v>6347</v>
      </c>
      <c r="O43" s="27">
        <f t="shared" si="23"/>
        <v>6347</v>
      </c>
      <c r="P43" s="27">
        <f t="shared" si="23"/>
        <v>6347</v>
      </c>
      <c r="Q43" s="27">
        <f t="shared" si="23"/>
        <v>6347</v>
      </c>
      <c r="R43" s="27">
        <f t="shared" si="23"/>
        <v>9520</v>
      </c>
      <c r="S43" s="61">
        <f t="shared" si="22"/>
        <v>3</v>
      </c>
    </row>
    <row r="44" spans="1:19" x14ac:dyDescent="0.3">
      <c r="A44" t="s">
        <v>65</v>
      </c>
      <c r="B44">
        <v>2</v>
      </c>
      <c r="C44">
        <v>7.662835249042145E-2</v>
      </c>
    </row>
    <row r="45" spans="1:19" x14ac:dyDescent="0.3">
      <c r="A45" t="s">
        <v>66</v>
      </c>
      <c r="B45">
        <v>2</v>
      </c>
      <c r="C45">
        <v>7.662835249042145E-2</v>
      </c>
    </row>
    <row r="46" spans="1:19" x14ac:dyDescent="0.3">
      <c r="A46" t="s">
        <v>67</v>
      </c>
      <c r="B46">
        <v>2</v>
      </c>
      <c r="C46">
        <v>7.662835249042145E-2</v>
      </c>
    </row>
    <row r="47" spans="1:19" x14ac:dyDescent="0.3">
      <c r="A47" t="s">
        <v>68</v>
      </c>
      <c r="B47">
        <v>3</v>
      </c>
      <c r="C47">
        <v>0.11494252873563218</v>
      </c>
    </row>
    <row r="48" spans="1:19" x14ac:dyDescent="0.3">
      <c r="B48" s="28">
        <f>SUM(B36:B47)</f>
        <v>26.1</v>
      </c>
      <c r="C48" s="62">
        <f>SUM(C35:C47)</f>
        <v>0.99999999999999978</v>
      </c>
    </row>
    <row r="50" spans="1:19" x14ac:dyDescent="0.3">
      <c r="G50">
        <f>G52-C53</f>
        <v>0</v>
      </c>
      <c r="H50">
        <f>H52-C54</f>
        <v>0</v>
      </c>
      <c r="I50">
        <f>I52-C55</f>
        <v>0</v>
      </c>
      <c r="J50">
        <f>J52-C56</f>
        <v>0</v>
      </c>
      <c r="K50">
        <f>C57-K52</f>
        <v>0</v>
      </c>
      <c r="L50">
        <f>L52-C58</f>
        <v>0</v>
      </c>
      <c r="M50">
        <f>M52-C59</f>
        <v>0</v>
      </c>
      <c r="N50">
        <f>N52-C60</f>
        <v>0</v>
      </c>
      <c r="O50">
        <f>O52-C61</f>
        <v>0</v>
      </c>
      <c r="P50">
        <f>P52-C62</f>
        <v>0</v>
      </c>
      <c r="Q50">
        <f>Q52-C63</f>
        <v>0</v>
      </c>
      <c r="R50">
        <f>R52-C64</f>
        <v>0</v>
      </c>
    </row>
    <row r="51" spans="1:19" ht="18" x14ac:dyDescent="0.35">
      <c r="A51" s="229" t="s">
        <v>54</v>
      </c>
      <c r="B51" s="229" t="s">
        <v>55</v>
      </c>
      <c r="C51" s="229" t="s">
        <v>56</v>
      </c>
      <c r="E51" s="230" t="s">
        <v>96</v>
      </c>
      <c r="G51" s="58" t="s">
        <v>57</v>
      </c>
      <c r="H51" s="58" t="s">
        <v>58</v>
      </c>
      <c r="I51" s="58" t="s">
        <v>59</v>
      </c>
      <c r="J51" s="58" t="s">
        <v>60</v>
      </c>
      <c r="K51" s="58" t="s">
        <v>61</v>
      </c>
      <c r="L51" s="58" t="s">
        <v>62</v>
      </c>
      <c r="M51" s="58" t="s">
        <v>63</v>
      </c>
      <c r="N51" s="58" t="s">
        <v>64</v>
      </c>
      <c r="O51" s="58" t="s">
        <v>65</v>
      </c>
      <c r="P51" s="58" t="s">
        <v>66</v>
      </c>
      <c r="Q51" s="58" t="s">
        <v>67</v>
      </c>
      <c r="R51" s="58" t="s">
        <v>68</v>
      </c>
    </row>
    <row r="52" spans="1:19" x14ac:dyDescent="0.3">
      <c r="G52" s="100">
        <f>$C53/$C$65</f>
        <v>7.6923076923076941E-2</v>
      </c>
      <c r="H52" s="100">
        <f>$C54/$C$65</f>
        <v>7.6923076923076941E-2</v>
      </c>
      <c r="I52" s="100">
        <f>$C55/$C$65</f>
        <v>7.6923076923076941E-2</v>
      </c>
      <c r="J52" s="100">
        <f>$C56/$C$65</f>
        <v>7.6923076923076941E-2</v>
      </c>
      <c r="K52" s="100">
        <f>$C57/$C$65</f>
        <v>7.6923076923076941E-2</v>
      </c>
      <c r="L52" s="100">
        <f>$C58/$C$65</f>
        <v>0.11538461538461542</v>
      </c>
      <c r="M52" s="100">
        <f>$C59/$C$65</f>
        <v>7.6923076923076941E-2</v>
      </c>
      <c r="N52" s="100">
        <f>$C60/$C$65</f>
        <v>7.6923076923076941E-2</v>
      </c>
      <c r="O52" s="100">
        <f>$C61/$C$65</f>
        <v>7.6923076923076941E-2</v>
      </c>
      <c r="P52" s="100">
        <f>$C62/$C$65</f>
        <v>7.6923076923076941E-2</v>
      </c>
      <c r="Q52" s="100">
        <f>$C63/$C$65</f>
        <v>7.6923076923076941E-2</v>
      </c>
      <c r="R52" s="100">
        <f>$C64/$C$65</f>
        <v>0.11538461538461542</v>
      </c>
      <c r="S52" s="60" t="s">
        <v>69</v>
      </c>
    </row>
    <row r="53" spans="1:19" x14ac:dyDescent="0.3">
      <c r="A53" t="s">
        <v>57</v>
      </c>
      <c r="B53">
        <v>2</v>
      </c>
      <c r="C53">
        <v>7.6923076923076927E-2</v>
      </c>
      <c r="E53" t="s">
        <v>31</v>
      </c>
      <c r="F53" s="232">
        <f>VLOOKUP(E:E,'2024-25 FY - EA 2022 Y3'!V:AH,4,FALSE)</f>
        <v>66033</v>
      </c>
      <c r="G53" s="25">
        <f t="shared" ref="G53:R53" si="24">ROUND($F53*G$52,0)</f>
        <v>5079</v>
      </c>
      <c r="H53" s="25">
        <f t="shared" si="24"/>
        <v>5079</v>
      </c>
      <c r="I53" s="25">
        <f t="shared" si="24"/>
        <v>5079</v>
      </c>
      <c r="J53" s="25">
        <f t="shared" si="24"/>
        <v>5079</v>
      </c>
      <c r="K53" s="25">
        <f t="shared" si="24"/>
        <v>5079</v>
      </c>
      <c r="L53" s="25">
        <f t="shared" si="24"/>
        <v>7619</v>
      </c>
      <c r="M53" s="25">
        <f t="shared" si="24"/>
        <v>5079</v>
      </c>
      <c r="N53" s="25">
        <f t="shared" si="24"/>
        <v>5079</v>
      </c>
      <c r="O53" s="25">
        <f t="shared" si="24"/>
        <v>5079</v>
      </c>
      <c r="P53" s="25">
        <f t="shared" si="24"/>
        <v>5079</v>
      </c>
      <c r="Q53" s="25">
        <f t="shared" si="24"/>
        <v>5079</v>
      </c>
      <c r="R53" s="25">
        <f t="shared" si="24"/>
        <v>7619</v>
      </c>
      <c r="S53" s="61">
        <f>SUM(G53:R53)-F53</f>
        <v>-5</v>
      </c>
    </row>
    <row r="54" spans="1:19" x14ac:dyDescent="0.3">
      <c r="A54" t="s">
        <v>58</v>
      </c>
      <c r="B54">
        <v>2</v>
      </c>
      <c r="C54">
        <v>7.6923076923076927E-2</v>
      </c>
      <c r="E54" t="s">
        <v>37</v>
      </c>
      <c r="F54" s="232">
        <f>VLOOKUP(E:E,'2024-25 FY - EA 2022 Y3'!V:AH,4,FALSE)</f>
        <v>0</v>
      </c>
      <c r="G54" s="25">
        <f>ROUND($F54*G$52,0)</f>
        <v>0</v>
      </c>
      <c r="H54" s="25">
        <f>ROUND($F54*H$52,0)</f>
        <v>0</v>
      </c>
      <c r="I54" s="25">
        <f t="shared" ref="I54:R59" si="25">ROUND($F54*I$52,0)</f>
        <v>0</v>
      </c>
      <c r="J54" s="25">
        <f t="shared" si="25"/>
        <v>0</v>
      </c>
      <c r="K54" s="25">
        <f t="shared" si="25"/>
        <v>0</v>
      </c>
      <c r="L54" s="25">
        <f t="shared" si="25"/>
        <v>0</v>
      </c>
      <c r="M54" s="25">
        <f t="shared" si="25"/>
        <v>0</v>
      </c>
      <c r="N54" s="25">
        <f t="shared" si="25"/>
        <v>0</v>
      </c>
      <c r="O54" s="25">
        <f t="shared" si="25"/>
        <v>0</v>
      </c>
      <c r="P54" s="25">
        <f t="shared" si="25"/>
        <v>0</v>
      </c>
      <c r="Q54" s="25">
        <f t="shared" si="25"/>
        <v>0</v>
      </c>
      <c r="R54" s="25">
        <f t="shared" si="25"/>
        <v>0</v>
      </c>
      <c r="S54" s="61">
        <f t="shared" ref="S54:S60" si="26">SUM(G54:R54)-F54</f>
        <v>0</v>
      </c>
    </row>
    <row r="55" spans="1:19" x14ac:dyDescent="0.3">
      <c r="A55" t="s">
        <v>59</v>
      </c>
      <c r="B55">
        <v>2</v>
      </c>
      <c r="C55">
        <v>7.6923076923076927E-2</v>
      </c>
      <c r="E55" t="s">
        <v>50</v>
      </c>
      <c r="F55" s="232">
        <f>VLOOKUP(E:E,'2024-25 FY - EA 2022 Y3'!V:AH,4,FALSE)</f>
        <v>6466</v>
      </c>
      <c r="G55" s="25">
        <f>ROUND($F55*G$52,0)</f>
        <v>497</v>
      </c>
      <c r="H55" s="25">
        <f t="shared" ref="H55:H59" si="27">ROUND($F55*H$52,0)</f>
        <v>497</v>
      </c>
      <c r="I55" s="25">
        <f t="shared" si="25"/>
        <v>497</v>
      </c>
      <c r="J55" s="25">
        <f t="shared" si="25"/>
        <v>497</v>
      </c>
      <c r="K55" s="25">
        <f t="shared" si="25"/>
        <v>497</v>
      </c>
      <c r="L55" s="25">
        <f t="shared" si="25"/>
        <v>746</v>
      </c>
      <c r="M55" s="25">
        <f t="shared" si="25"/>
        <v>497</v>
      </c>
      <c r="N55" s="25">
        <f t="shared" si="25"/>
        <v>497</v>
      </c>
      <c r="O55" s="25">
        <f t="shared" si="25"/>
        <v>497</v>
      </c>
      <c r="P55" s="25">
        <f t="shared" si="25"/>
        <v>497</v>
      </c>
      <c r="Q55" s="25">
        <f t="shared" si="25"/>
        <v>497</v>
      </c>
      <c r="R55" s="25">
        <f t="shared" si="25"/>
        <v>746</v>
      </c>
      <c r="S55" s="61">
        <f t="shared" si="26"/>
        <v>-4</v>
      </c>
    </row>
    <row r="56" spans="1:19" x14ac:dyDescent="0.3">
      <c r="A56" t="s">
        <v>60</v>
      </c>
      <c r="B56">
        <v>2</v>
      </c>
      <c r="C56">
        <v>7.6923076923076927E-2</v>
      </c>
      <c r="E56" t="s">
        <v>33</v>
      </c>
      <c r="F56" s="232">
        <f>VLOOKUP(E:E,'2024-25 FY - EA 2022 Y3'!V:AH,4,FALSE)</f>
        <v>2324</v>
      </c>
      <c r="G56" s="25">
        <f>ROUND($F56*G$52,0)</f>
        <v>179</v>
      </c>
      <c r="H56" s="25">
        <f t="shared" si="27"/>
        <v>179</v>
      </c>
      <c r="I56" s="25">
        <f t="shared" si="25"/>
        <v>179</v>
      </c>
      <c r="J56" s="25">
        <f t="shared" si="25"/>
        <v>179</v>
      </c>
      <c r="K56" s="25">
        <f t="shared" si="25"/>
        <v>179</v>
      </c>
      <c r="L56" s="25">
        <f t="shared" si="25"/>
        <v>268</v>
      </c>
      <c r="M56" s="25">
        <f t="shared" si="25"/>
        <v>179</v>
      </c>
      <c r="N56" s="25">
        <f t="shared" si="25"/>
        <v>179</v>
      </c>
      <c r="O56" s="25">
        <f t="shared" si="25"/>
        <v>179</v>
      </c>
      <c r="P56" s="25">
        <f t="shared" si="25"/>
        <v>179</v>
      </c>
      <c r="Q56" s="25">
        <f t="shared" si="25"/>
        <v>179</v>
      </c>
      <c r="R56" s="25">
        <f t="shared" si="25"/>
        <v>268</v>
      </c>
      <c r="S56" s="61">
        <f t="shared" si="26"/>
        <v>2</v>
      </c>
    </row>
    <row r="57" spans="1:19" x14ac:dyDescent="0.3">
      <c r="A57" t="s">
        <v>61</v>
      </c>
      <c r="B57">
        <v>2</v>
      </c>
      <c r="C57">
        <v>7.6923076923076927E-2</v>
      </c>
      <c r="E57" t="s">
        <v>34</v>
      </c>
      <c r="F57" s="232">
        <f>VLOOKUP(E:E,'2024-25 FY - EA 2022 Y3'!V:AH,4,FALSE)</f>
        <v>8700</v>
      </c>
      <c r="G57" s="25">
        <f>ROUND($F57*G$52,0)</f>
        <v>669</v>
      </c>
      <c r="H57" s="25">
        <f t="shared" si="27"/>
        <v>669</v>
      </c>
      <c r="I57" s="25">
        <f t="shared" si="25"/>
        <v>669</v>
      </c>
      <c r="J57" s="25">
        <f t="shared" si="25"/>
        <v>669</v>
      </c>
      <c r="K57" s="25">
        <f t="shared" si="25"/>
        <v>669</v>
      </c>
      <c r="L57" s="25">
        <f t="shared" si="25"/>
        <v>1004</v>
      </c>
      <c r="M57" s="25">
        <f t="shared" si="25"/>
        <v>669</v>
      </c>
      <c r="N57" s="25">
        <f t="shared" si="25"/>
        <v>669</v>
      </c>
      <c r="O57" s="25">
        <f t="shared" si="25"/>
        <v>669</v>
      </c>
      <c r="P57" s="25">
        <f t="shared" si="25"/>
        <v>669</v>
      </c>
      <c r="Q57" s="25">
        <f t="shared" si="25"/>
        <v>669</v>
      </c>
      <c r="R57" s="25">
        <f t="shared" si="25"/>
        <v>1004</v>
      </c>
      <c r="S57" s="61">
        <f t="shared" si="26"/>
        <v>-2</v>
      </c>
    </row>
    <row r="58" spans="1:19" x14ac:dyDescent="0.3">
      <c r="A58" t="s">
        <v>62</v>
      </c>
      <c r="B58">
        <v>3</v>
      </c>
      <c r="C58">
        <v>0.11538461538461539</v>
      </c>
      <c r="E58" t="s">
        <v>35</v>
      </c>
      <c r="F58" s="232">
        <f>VLOOKUP(E:E,'2024-25 FY - EA 2022 Y3'!V:AH,4,FALSE)</f>
        <v>1788</v>
      </c>
      <c r="G58" s="25">
        <f>ROUND($F58*G$52,0)</f>
        <v>138</v>
      </c>
      <c r="H58" s="25">
        <f t="shared" si="27"/>
        <v>138</v>
      </c>
      <c r="I58" s="25">
        <f t="shared" si="25"/>
        <v>138</v>
      </c>
      <c r="J58" s="25">
        <f t="shared" si="25"/>
        <v>138</v>
      </c>
      <c r="K58" s="25">
        <f t="shared" si="25"/>
        <v>138</v>
      </c>
      <c r="L58" s="25">
        <f t="shared" si="25"/>
        <v>206</v>
      </c>
      <c r="M58" s="25">
        <f t="shared" si="25"/>
        <v>138</v>
      </c>
      <c r="N58" s="25">
        <f t="shared" si="25"/>
        <v>138</v>
      </c>
      <c r="O58" s="25">
        <f t="shared" si="25"/>
        <v>138</v>
      </c>
      <c r="P58" s="25">
        <f t="shared" si="25"/>
        <v>138</v>
      </c>
      <c r="Q58" s="25">
        <f t="shared" si="25"/>
        <v>138</v>
      </c>
      <c r="R58" s="25">
        <f t="shared" si="25"/>
        <v>206</v>
      </c>
      <c r="S58" s="61">
        <f t="shared" si="26"/>
        <v>4</v>
      </c>
    </row>
    <row r="59" spans="1:19" x14ac:dyDescent="0.3">
      <c r="A59" t="s">
        <v>63</v>
      </c>
      <c r="B59">
        <v>2</v>
      </c>
      <c r="C59">
        <v>7.6923076923076927E-2</v>
      </c>
      <c r="E59" t="s">
        <v>77</v>
      </c>
      <c r="F59" s="232">
        <f>VLOOKUP(E:E,'2024-25 FY - EA 2022 Y3'!V:AH,4,FALSE)</f>
        <v>0</v>
      </c>
      <c r="G59" s="25">
        <f>ROUND($F59*G$52,0)</f>
        <v>0</v>
      </c>
      <c r="H59" s="25">
        <f t="shared" si="27"/>
        <v>0</v>
      </c>
      <c r="I59" s="25">
        <f t="shared" si="25"/>
        <v>0</v>
      </c>
      <c r="J59" s="25">
        <f t="shared" si="25"/>
        <v>0</v>
      </c>
      <c r="K59" s="25">
        <f t="shared" si="25"/>
        <v>0</v>
      </c>
      <c r="L59" s="25">
        <f t="shared" si="25"/>
        <v>0</v>
      </c>
      <c r="M59" s="25">
        <f t="shared" si="25"/>
        <v>0</v>
      </c>
      <c r="N59" s="25">
        <f t="shared" si="25"/>
        <v>0</v>
      </c>
      <c r="O59" s="25">
        <f t="shared" si="25"/>
        <v>0</v>
      </c>
      <c r="P59" s="25">
        <f t="shared" si="25"/>
        <v>0</v>
      </c>
      <c r="Q59" s="25">
        <f t="shared" si="25"/>
        <v>0</v>
      </c>
      <c r="R59" s="25">
        <f t="shared" si="25"/>
        <v>0</v>
      </c>
      <c r="S59" s="61">
        <f t="shared" si="26"/>
        <v>0</v>
      </c>
    </row>
    <row r="60" spans="1:19" x14ac:dyDescent="0.3">
      <c r="A60" t="s">
        <v>64</v>
      </c>
      <c r="B60">
        <v>2</v>
      </c>
      <c r="C60">
        <v>7.6923076923076927E-2</v>
      </c>
      <c r="F60" s="27">
        <f>SUM(F53:F59)</f>
        <v>85311</v>
      </c>
      <c r="G60" s="27">
        <f t="shared" ref="G60:R60" si="28">SUM(G53:G59)</f>
        <v>6562</v>
      </c>
      <c r="H60" s="27">
        <f t="shared" si="28"/>
        <v>6562</v>
      </c>
      <c r="I60" s="27">
        <f t="shared" si="28"/>
        <v>6562</v>
      </c>
      <c r="J60" s="27">
        <f t="shared" si="28"/>
        <v>6562</v>
      </c>
      <c r="K60" s="27">
        <f t="shared" si="28"/>
        <v>6562</v>
      </c>
      <c r="L60" s="27">
        <f t="shared" si="28"/>
        <v>9843</v>
      </c>
      <c r="M60" s="27">
        <f t="shared" si="28"/>
        <v>6562</v>
      </c>
      <c r="N60" s="27">
        <f t="shared" si="28"/>
        <v>6562</v>
      </c>
      <c r="O60" s="27">
        <f t="shared" si="28"/>
        <v>6562</v>
      </c>
      <c r="P60" s="27">
        <f t="shared" si="28"/>
        <v>6562</v>
      </c>
      <c r="Q60" s="27">
        <f t="shared" si="28"/>
        <v>6562</v>
      </c>
      <c r="R60" s="27">
        <f t="shared" si="28"/>
        <v>9843</v>
      </c>
      <c r="S60" s="61">
        <f t="shared" si="26"/>
        <v>-5</v>
      </c>
    </row>
    <row r="61" spans="1:19" x14ac:dyDescent="0.3">
      <c r="A61" t="s">
        <v>65</v>
      </c>
      <c r="B61">
        <v>2</v>
      </c>
      <c r="C61">
        <v>7.6923076923076927E-2</v>
      </c>
    </row>
    <row r="62" spans="1:19" x14ac:dyDescent="0.3">
      <c r="A62" t="s">
        <v>66</v>
      </c>
      <c r="B62">
        <v>2</v>
      </c>
      <c r="C62">
        <v>7.6923076923076927E-2</v>
      </c>
    </row>
    <row r="63" spans="1:19" x14ac:dyDescent="0.3">
      <c r="A63" t="s">
        <v>67</v>
      </c>
      <c r="B63">
        <v>2</v>
      </c>
      <c r="C63">
        <v>7.6923076923076927E-2</v>
      </c>
    </row>
    <row r="64" spans="1:19" x14ac:dyDescent="0.3">
      <c r="A64" t="s">
        <v>68</v>
      </c>
      <c r="B64">
        <v>3</v>
      </c>
      <c r="C64">
        <v>0.11538461538461539</v>
      </c>
    </row>
    <row r="65" spans="2:3" x14ac:dyDescent="0.3">
      <c r="B65" s="231">
        <f>SUM(B53:B64)</f>
        <v>26</v>
      </c>
      <c r="C65" s="62">
        <f>SUM(C52:C64)</f>
        <v>0.99999999999999978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9BB2-166D-4190-B6A5-F1E891BFBD47}">
  <dimension ref="A1:EA21"/>
  <sheetViews>
    <sheetView workbookViewId="0">
      <selection activeCell="D6" sqref="D6"/>
    </sheetView>
  </sheetViews>
  <sheetFormatPr defaultColWidth="9.33203125" defaultRowHeight="13.8" x14ac:dyDescent="0.25"/>
  <cols>
    <col min="1" max="1" width="25.44140625" style="107" customWidth="1"/>
    <col min="2" max="3" width="7.5546875" style="116" customWidth="1"/>
    <col min="4" max="4" width="11.33203125" style="116" customWidth="1"/>
    <col min="5" max="6" width="7.5546875" style="116" hidden="1" customWidth="1"/>
    <col min="7" max="13" width="10.33203125" style="116" hidden="1" customWidth="1"/>
    <col min="14" max="26" width="7.5546875" style="116" hidden="1" customWidth="1"/>
    <col min="27" max="28" width="10.33203125" style="116" hidden="1" customWidth="1"/>
    <col min="29" max="92" width="7.5546875" style="116" hidden="1" customWidth="1"/>
    <col min="93" max="102" width="11.6640625" style="107" customWidth="1"/>
    <col min="103" max="103" width="9.33203125" style="107"/>
    <col min="104" max="107" width="10" style="107" customWidth="1"/>
    <col min="108" max="108" width="10.33203125" style="107" customWidth="1"/>
    <col min="109" max="116" width="8.33203125" style="107" bestFit="1" customWidth="1"/>
    <col min="117" max="119" width="9.33203125" style="107"/>
    <col min="120" max="123" width="8.33203125" style="107" bestFit="1" customWidth="1"/>
    <col min="124" max="124" width="8.5546875" style="107" bestFit="1" customWidth="1"/>
    <col min="125" max="126" width="8.33203125" style="107" bestFit="1" customWidth="1"/>
    <col min="127" max="127" width="8.5546875" style="107" bestFit="1" customWidth="1"/>
    <col min="128" max="131" width="8.33203125" style="107" bestFit="1" customWidth="1"/>
    <col min="132" max="16384" width="9.33203125" style="107"/>
  </cols>
  <sheetData>
    <row r="1" spans="1:131" ht="82.8" x14ac:dyDescent="0.25">
      <c r="A1" s="101"/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4" t="s">
        <v>120</v>
      </c>
      <c r="CP1" s="104" t="s">
        <v>121</v>
      </c>
      <c r="CQ1" s="104" t="s">
        <v>122</v>
      </c>
      <c r="CR1" s="104" t="s">
        <v>123</v>
      </c>
      <c r="CS1" s="104" t="s">
        <v>124</v>
      </c>
      <c r="CT1" s="104" t="s">
        <v>125</v>
      </c>
      <c r="CU1" s="104" t="s">
        <v>126</v>
      </c>
      <c r="CV1" s="104" t="s">
        <v>127</v>
      </c>
      <c r="CW1" s="104" t="s">
        <v>128</v>
      </c>
      <c r="CX1" s="104" t="s">
        <v>129</v>
      </c>
      <c r="CY1" s="105"/>
      <c r="CZ1" s="106" t="s">
        <v>130</v>
      </c>
      <c r="DA1" s="106" t="s">
        <v>131</v>
      </c>
      <c r="DB1" s="106" t="s">
        <v>132</v>
      </c>
      <c r="DC1" s="106" t="s">
        <v>133</v>
      </c>
      <c r="DD1" s="106" t="s">
        <v>283</v>
      </c>
    </row>
    <row r="2" spans="1:131" x14ac:dyDescent="0.2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08"/>
      <c r="DB2" s="202">
        <v>261</v>
      </c>
      <c r="DC2" s="202">
        <f>7.6*DD2</f>
        <v>7.6</v>
      </c>
      <c r="DD2" s="201">
        <v>1</v>
      </c>
    </row>
    <row r="3" spans="1:131" s="101" customFormat="1" x14ac:dyDescent="0.25">
      <c r="A3" s="111" t="s">
        <v>134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3">
        <f>CO13</f>
        <v>85913.430000000008</v>
      </c>
      <c r="CP3" s="113">
        <f t="shared" ref="CP3:CX3" si="0">CP13</f>
        <v>0</v>
      </c>
      <c r="CQ3" s="113">
        <f t="shared" si="0"/>
        <v>0</v>
      </c>
      <c r="CR3" s="113">
        <f t="shared" si="0"/>
        <v>7280.8</v>
      </c>
      <c r="CS3" s="113">
        <f t="shared" si="0"/>
        <v>1274.1399999999999</v>
      </c>
      <c r="CT3" s="113">
        <f t="shared" si="0"/>
        <v>8554.94</v>
      </c>
      <c r="CU3" s="113">
        <f t="shared" si="0"/>
        <v>8974.49</v>
      </c>
      <c r="CV3" s="113">
        <f t="shared" si="0"/>
        <v>2329.86</v>
      </c>
      <c r="CW3" s="114" t="s">
        <v>73</v>
      </c>
      <c r="CX3" s="113">
        <f t="shared" si="0"/>
        <v>2517.39</v>
      </c>
      <c r="CY3" s="113"/>
      <c r="CZ3" s="113">
        <f>CO3+CP3+CQ3+CT3+CU3+CV3+CX3</f>
        <v>108290.11000000002</v>
      </c>
      <c r="DA3" s="113">
        <f>CO3+CR3</f>
        <v>93194.23000000001</v>
      </c>
      <c r="DB3" s="113">
        <f>DA3/DB2</f>
        <v>357.06601532567055</v>
      </c>
      <c r="DC3" s="115">
        <f>DB3/DC2</f>
        <v>46.98237043758823</v>
      </c>
    </row>
    <row r="4" spans="1:131" x14ac:dyDescent="0.25"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8"/>
    </row>
    <row r="5" spans="1:131" s="138" customFormat="1" ht="10.8" x14ac:dyDescent="0.2">
      <c r="A5" s="119" t="s">
        <v>135</v>
      </c>
      <c r="B5" s="120"/>
      <c r="C5" s="121"/>
      <c r="D5" s="121"/>
      <c r="E5" s="121"/>
      <c r="F5" s="121"/>
      <c r="G5" s="122">
        <v>42142</v>
      </c>
      <c r="H5" s="122">
        <v>43360</v>
      </c>
      <c r="I5" s="122"/>
      <c r="J5" s="123">
        <v>261</v>
      </c>
      <c r="K5" s="122">
        <v>43647</v>
      </c>
      <c r="L5" s="122">
        <v>44012</v>
      </c>
      <c r="M5" s="124">
        <v>38</v>
      </c>
      <c r="N5" s="125">
        <v>38</v>
      </c>
      <c r="O5" s="124">
        <v>1</v>
      </c>
      <c r="P5" s="126" t="s">
        <v>137</v>
      </c>
      <c r="Q5" s="127">
        <v>100</v>
      </c>
      <c r="R5" s="126" t="s">
        <v>138</v>
      </c>
      <c r="S5" s="123" t="s">
        <v>139</v>
      </c>
      <c r="T5" s="123">
        <v>4</v>
      </c>
      <c r="U5" s="126" t="s">
        <v>140</v>
      </c>
      <c r="V5" s="128">
        <v>9.5</v>
      </c>
      <c r="W5" s="128">
        <v>9.5</v>
      </c>
      <c r="X5" s="129" t="s">
        <v>141</v>
      </c>
      <c r="Y5" s="129" t="s">
        <v>141</v>
      </c>
      <c r="Z5" s="129" t="s">
        <v>141</v>
      </c>
      <c r="AA5" s="130">
        <v>43238</v>
      </c>
      <c r="AB5" s="122">
        <v>43969</v>
      </c>
      <c r="AC5" s="129" t="s">
        <v>141</v>
      </c>
      <c r="AD5" s="123">
        <v>230</v>
      </c>
      <c r="AE5" s="123">
        <v>31</v>
      </c>
      <c r="AF5" s="125">
        <v>44.06</v>
      </c>
      <c r="AG5" s="124">
        <v>39.26</v>
      </c>
      <c r="AH5" s="124">
        <v>1491.88</v>
      </c>
      <c r="AI5" s="124">
        <v>1491.88</v>
      </c>
      <c r="AJ5" s="124">
        <v>1491.88</v>
      </c>
      <c r="AK5" s="124">
        <v>77876.14</v>
      </c>
      <c r="AL5" s="124">
        <v>77876.14</v>
      </c>
      <c r="AM5" s="124">
        <v>40.270000000000003</v>
      </c>
      <c r="AN5" s="124">
        <v>1530.26</v>
      </c>
      <c r="AO5" s="124">
        <v>79879.570000000007</v>
      </c>
      <c r="AP5" s="124">
        <v>44.06</v>
      </c>
      <c r="AQ5" s="124">
        <v>1674.28</v>
      </c>
      <c r="AR5" s="124">
        <v>87397.42</v>
      </c>
      <c r="AS5" s="124">
        <v>87397.42</v>
      </c>
      <c r="AT5" s="124">
        <v>40.270000000000003</v>
      </c>
      <c r="AU5" s="124">
        <v>1530.26</v>
      </c>
      <c r="AV5" s="124">
        <v>0</v>
      </c>
      <c r="AW5" s="124">
        <v>44.06</v>
      </c>
      <c r="AX5" s="124">
        <v>1568.52</v>
      </c>
      <c r="AY5" s="124">
        <v>81876.740000000005</v>
      </c>
      <c r="AZ5" s="131">
        <v>0</v>
      </c>
      <c r="BA5" s="131">
        <v>0</v>
      </c>
      <c r="BB5" s="131">
        <v>0</v>
      </c>
      <c r="BC5" s="131">
        <v>0</v>
      </c>
      <c r="BD5" s="131">
        <v>0</v>
      </c>
      <c r="BE5" s="131">
        <v>0</v>
      </c>
      <c r="BF5" s="131">
        <v>0</v>
      </c>
      <c r="BG5" s="131">
        <v>0</v>
      </c>
      <c r="BH5" s="125">
        <v>0</v>
      </c>
      <c r="BI5" s="125">
        <v>0</v>
      </c>
      <c r="BJ5" s="125">
        <v>0</v>
      </c>
      <c r="BK5" s="125">
        <v>0</v>
      </c>
      <c r="BL5" s="125">
        <v>0</v>
      </c>
      <c r="BM5" s="125">
        <v>0</v>
      </c>
      <c r="BN5" s="125">
        <v>0</v>
      </c>
      <c r="BO5" s="125">
        <v>0</v>
      </c>
      <c r="BP5" s="132">
        <v>150</v>
      </c>
      <c r="BQ5" s="133">
        <v>0</v>
      </c>
      <c r="BR5" s="133">
        <v>0</v>
      </c>
      <c r="BS5" s="133">
        <v>0</v>
      </c>
      <c r="BT5" s="133">
        <v>0</v>
      </c>
      <c r="BU5" s="133">
        <v>0</v>
      </c>
      <c r="BV5" s="133">
        <v>0</v>
      </c>
      <c r="BW5" s="133">
        <v>0</v>
      </c>
      <c r="BX5" s="133">
        <v>0</v>
      </c>
      <c r="BY5" s="133">
        <v>0</v>
      </c>
      <c r="BZ5" s="133">
        <v>0</v>
      </c>
      <c r="CA5" s="133">
        <v>0</v>
      </c>
      <c r="CB5" s="133">
        <v>0</v>
      </c>
      <c r="CC5" s="133">
        <v>0</v>
      </c>
      <c r="CD5" s="133">
        <v>0</v>
      </c>
      <c r="CE5" s="133">
        <v>0</v>
      </c>
      <c r="CF5" s="133">
        <v>0</v>
      </c>
      <c r="CG5" s="133">
        <v>77016.88</v>
      </c>
      <c r="CH5" s="133">
        <v>10380.540000000001</v>
      </c>
      <c r="CI5" s="124">
        <v>44.06</v>
      </c>
      <c r="CJ5" s="133">
        <v>87397.42</v>
      </c>
      <c r="CK5" s="133">
        <v>150</v>
      </c>
      <c r="CL5" s="133">
        <v>150</v>
      </c>
      <c r="CM5" s="133">
        <v>88719.42</v>
      </c>
      <c r="CN5" s="133">
        <v>87547.42</v>
      </c>
      <c r="CO5" s="133">
        <v>80700.3</v>
      </c>
      <c r="CP5" s="133">
        <v>0</v>
      </c>
      <c r="CQ5" s="133">
        <v>0</v>
      </c>
      <c r="CR5" s="133">
        <v>6697.12</v>
      </c>
      <c r="CS5" s="133">
        <v>1172</v>
      </c>
      <c r="CT5" s="133">
        <v>7869.12</v>
      </c>
      <c r="CU5" s="133">
        <v>8428.34</v>
      </c>
      <c r="CV5" s="133">
        <v>2184.94</v>
      </c>
      <c r="CW5" s="124">
        <v>2.38</v>
      </c>
      <c r="CX5" s="133">
        <v>2364.12</v>
      </c>
      <c r="CY5" s="126" t="s">
        <v>136</v>
      </c>
      <c r="DA5" s="126"/>
      <c r="DB5" s="134">
        <v>43647</v>
      </c>
      <c r="DC5" s="134">
        <v>44012</v>
      </c>
      <c r="DD5" s="135">
        <v>17.5</v>
      </c>
      <c r="DE5" s="135">
        <v>2.5</v>
      </c>
      <c r="DF5" s="134">
        <v>43479</v>
      </c>
      <c r="DG5" s="123">
        <v>261</v>
      </c>
      <c r="DH5" s="136">
        <v>0</v>
      </c>
      <c r="DI5" s="124">
        <v>0</v>
      </c>
      <c r="DJ5" s="135">
        <v>2.5</v>
      </c>
      <c r="DK5" s="134">
        <v>43646</v>
      </c>
      <c r="DL5" s="126" t="s">
        <v>142</v>
      </c>
      <c r="DM5" s="126" t="s">
        <v>143</v>
      </c>
      <c r="DN5" s="126" t="s">
        <v>143</v>
      </c>
      <c r="DO5" s="126" t="s">
        <v>143</v>
      </c>
      <c r="DP5" s="128">
        <v>0</v>
      </c>
      <c r="DQ5" s="124">
        <v>0</v>
      </c>
      <c r="DR5" s="124">
        <v>0</v>
      </c>
      <c r="DS5" s="124">
        <v>0</v>
      </c>
      <c r="DT5" s="137">
        <v>279.16000000000003</v>
      </c>
      <c r="DU5" s="137">
        <v>8.74</v>
      </c>
      <c r="DV5" s="137">
        <v>7.3</v>
      </c>
      <c r="DW5" s="137">
        <v>145.19999999999999</v>
      </c>
      <c r="DX5" s="137">
        <v>6.91</v>
      </c>
      <c r="DY5" s="137">
        <v>0.87</v>
      </c>
      <c r="DZ5" s="137">
        <v>20.85</v>
      </c>
      <c r="EA5" s="137">
        <v>1.1399999999999999</v>
      </c>
    </row>
    <row r="6" spans="1:131" x14ac:dyDescent="0.25">
      <c r="CZ6" s="113">
        <f>CO5+CP5+CQ5+CT5+CU5+CV5+CX5</f>
        <v>101546.81999999999</v>
      </c>
    </row>
    <row r="7" spans="1:131" x14ac:dyDescent="0.25">
      <c r="CZ7" s="117">
        <f>CZ3-CZ6</f>
        <v>6743.2900000000227</v>
      </c>
    </row>
    <row r="9" spans="1:131" s="152" customFormat="1" ht="105.6" x14ac:dyDescent="0.25">
      <c r="A9" s="139"/>
      <c r="B9" s="140" t="s">
        <v>144</v>
      </c>
      <c r="C9" s="141" t="s">
        <v>145</v>
      </c>
      <c r="D9" s="141" t="s">
        <v>146</v>
      </c>
      <c r="E9" s="141" t="s">
        <v>147</v>
      </c>
      <c r="F9" s="141" t="s">
        <v>148</v>
      </c>
      <c r="G9" s="142" t="s">
        <v>149</v>
      </c>
      <c r="H9" s="142" t="s">
        <v>150</v>
      </c>
      <c r="I9" s="142" t="s">
        <v>151</v>
      </c>
      <c r="J9" s="143" t="s">
        <v>152</v>
      </c>
      <c r="K9" s="142" t="s">
        <v>153</v>
      </c>
      <c r="L9" s="142" t="s">
        <v>154</v>
      </c>
      <c r="M9" s="144" t="s">
        <v>155</v>
      </c>
      <c r="N9" s="144" t="s">
        <v>156</v>
      </c>
      <c r="O9" s="145" t="s">
        <v>157</v>
      </c>
      <c r="P9" s="141" t="s">
        <v>158</v>
      </c>
      <c r="Q9" s="146" t="s">
        <v>159</v>
      </c>
      <c r="R9" s="141" t="s">
        <v>160</v>
      </c>
      <c r="S9" s="143" t="s">
        <v>161</v>
      </c>
      <c r="T9" s="143" t="s">
        <v>162</v>
      </c>
      <c r="U9" s="141" t="s">
        <v>163</v>
      </c>
      <c r="V9" s="146" t="s">
        <v>164</v>
      </c>
      <c r="W9" s="146" t="s">
        <v>165</v>
      </c>
      <c r="X9" s="141" t="s">
        <v>166</v>
      </c>
      <c r="Y9" s="141" t="s">
        <v>167</v>
      </c>
      <c r="Z9" s="141" t="s">
        <v>168</v>
      </c>
      <c r="AA9" s="142" t="s">
        <v>169</v>
      </c>
      <c r="AB9" s="142" t="s">
        <v>170</v>
      </c>
      <c r="AC9" s="141" t="s">
        <v>171</v>
      </c>
      <c r="AD9" s="143" t="s">
        <v>172</v>
      </c>
      <c r="AE9" s="143" t="s">
        <v>173</v>
      </c>
      <c r="AF9" s="144" t="s">
        <v>174</v>
      </c>
      <c r="AG9" s="144" t="s">
        <v>175</v>
      </c>
      <c r="AH9" s="144" t="s">
        <v>176</v>
      </c>
      <c r="AI9" s="144" t="s">
        <v>177</v>
      </c>
      <c r="AJ9" s="144" t="s">
        <v>178</v>
      </c>
      <c r="AK9" s="144" t="s">
        <v>179</v>
      </c>
      <c r="AL9" s="144" t="s">
        <v>180</v>
      </c>
      <c r="AM9" s="144" t="s">
        <v>181</v>
      </c>
      <c r="AN9" s="144" t="s">
        <v>182</v>
      </c>
      <c r="AO9" s="144" t="s">
        <v>183</v>
      </c>
      <c r="AP9" s="144" t="s">
        <v>184</v>
      </c>
      <c r="AQ9" s="144" t="s">
        <v>185</v>
      </c>
      <c r="AR9" s="144" t="s">
        <v>186</v>
      </c>
      <c r="AS9" s="144" t="s">
        <v>187</v>
      </c>
      <c r="AT9" s="144" t="s">
        <v>188</v>
      </c>
      <c r="AU9" s="144" t="s">
        <v>189</v>
      </c>
      <c r="AV9" s="144" t="s">
        <v>190</v>
      </c>
      <c r="AW9" s="144" t="s">
        <v>191</v>
      </c>
      <c r="AX9" s="144" t="s">
        <v>192</v>
      </c>
      <c r="AY9" s="144" t="s">
        <v>193</v>
      </c>
      <c r="AZ9" s="143" t="s">
        <v>194</v>
      </c>
      <c r="BA9" s="143" t="s">
        <v>195</v>
      </c>
      <c r="BB9" s="143" t="s">
        <v>196</v>
      </c>
      <c r="BC9" s="143" t="s">
        <v>197</v>
      </c>
      <c r="BD9" s="143" t="s">
        <v>198</v>
      </c>
      <c r="BE9" s="143" t="s">
        <v>199</v>
      </c>
      <c r="BF9" s="143" t="s">
        <v>200</v>
      </c>
      <c r="BG9" s="143" t="s">
        <v>201</v>
      </c>
      <c r="BH9" s="144" t="s">
        <v>202</v>
      </c>
      <c r="BI9" s="144" t="s">
        <v>203</v>
      </c>
      <c r="BJ9" s="144" t="s">
        <v>204</v>
      </c>
      <c r="BK9" s="144" t="s">
        <v>205</v>
      </c>
      <c r="BL9" s="144" t="s">
        <v>206</v>
      </c>
      <c r="BM9" s="144" t="s">
        <v>207</v>
      </c>
      <c r="BN9" s="144" t="s">
        <v>208</v>
      </c>
      <c r="BO9" s="144" t="s">
        <v>209</v>
      </c>
      <c r="BP9" s="147" t="s">
        <v>210</v>
      </c>
      <c r="BQ9" s="147" t="s">
        <v>211</v>
      </c>
      <c r="BR9" s="147" t="s">
        <v>212</v>
      </c>
      <c r="BS9" s="147" t="s">
        <v>213</v>
      </c>
      <c r="BT9" s="147" t="s">
        <v>214</v>
      </c>
      <c r="BU9" s="147" t="s">
        <v>215</v>
      </c>
      <c r="BV9" s="147" t="s">
        <v>216</v>
      </c>
      <c r="BW9" s="147" t="s">
        <v>217</v>
      </c>
      <c r="BX9" s="147" t="s">
        <v>218</v>
      </c>
      <c r="BY9" s="147" t="s">
        <v>219</v>
      </c>
      <c r="BZ9" s="147" t="s">
        <v>220</v>
      </c>
      <c r="CA9" s="147" t="s">
        <v>221</v>
      </c>
      <c r="CB9" s="147" t="s">
        <v>222</v>
      </c>
      <c r="CC9" s="147" t="s">
        <v>223</v>
      </c>
      <c r="CD9" s="147" t="s">
        <v>224</v>
      </c>
      <c r="CE9" s="147" t="s">
        <v>225</v>
      </c>
      <c r="CF9" s="147" t="s">
        <v>226</v>
      </c>
      <c r="CG9" s="147" t="s">
        <v>227</v>
      </c>
      <c r="CH9" s="147" t="s">
        <v>228</v>
      </c>
      <c r="CI9" s="144" t="s">
        <v>229</v>
      </c>
      <c r="CJ9" s="147" t="s">
        <v>230</v>
      </c>
      <c r="CK9" s="147" t="s">
        <v>231</v>
      </c>
      <c r="CL9" s="147" t="s">
        <v>232</v>
      </c>
      <c r="CM9" s="147" t="s">
        <v>233</v>
      </c>
      <c r="CN9" s="147" t="s">
        <v>234</v>
      </c>
      <c r="CO9" s="147" t="s">
        <v>235</v>
      </c>
      <c r="CP9" s="147" t="s">
        <v>121</v>
      </c>
      <c r="CQ9" s="147" t="s">
        <v>122</v>
      </c>
      <c r="CR9" s="147" t="s">
        <v>123</v>
      </c>
      <c r="CS9" s="147" t="s">
        <v>124</v>
      </c>
      <c r="CT9" s="147" t="s">
        <v>125</v>
      </c>
      <c r="CU9" s="147" t="s">
        <v>126</v>
      </c>
      <c r="CV9" s="147" t="s">
        <v>127</v>
      </c>
      <c r="CW9" s="144" t="s">
        <v>236</v>
      </c>
      <c r="CX9" s="147" t="s">
        <v>129</v>
      </c>
      <c r="CY9" s="148" t="s">
        <v>237</v>
      </c>
      <c r="CZ9" s="148" t="s">
        <v>238</v>
      </c>
      <c r="DA9" s="148" t="s">
        <v>239</v>
      </c>
      <c r="DB9" s="141" t="s">
        <v>240</v>
      </c>
      <c r="DC9" s="141" t="s">
        <v>241</v>
      </c>
      <c r="DD9" s="149" t="s">
        <v>242</v>
      </c>
      <c r="DE9" s="149" t="s">
        <v>243</v>
      </c>
      <c r="DF9" s="141" t="s">
        <v>244</v>
      </c>
      <c r="DG9" s="143" t="s">
        <v>245</v>
      </c>
      <c r="DH9" s="150" t="s">
        <v>246</v>
      </c>
      <c r="DI9" s="144" t="s">
        <v>247</v>
      </c>
      <c r="DJ9" s="149" t="s">
        <v>248</v>
      </c>
      <c r="DK9" s="141" t="s">
        <v>249</v>
      </c>
      <c r="DL9" s="141" t="s">
        <v>250</v>
      </c>
      <c r="DM9" s="141" t="s">
        <v>251</v>
      </c>
      <c r="DN9" s="141" t="s">
        <v>252</v>
      </c>
      <c r="DO9" s="141" t="s">
        <v>253</v>
      </c>
      <c r="DP9" s="146" t="s">
        <v>254</v>
      </c>
      <c r="DQ9" s="144" t="s">
        <v>255</v>
      </c>
      <c r="DR9" s="144" t="s">
        <v>256</v>
      </c>
      <c r="DS9" s="144" t="s">
        <v>257</v>
      </c>
      <c r="DT9" s="151" t="s">
        <v>258</v>
      </c>
      <c r="DU9" s="151" t="s">
        <v>259</v>
      </c>
      <c r="DV9" s="151" t="s">
        <v>260</v>
      </c>
      <c r="DW9" s="151" t="s">
        <v>261</v>
      </c>
      <c r="DX9" s="151" t="s">
        <v>262</v>
      </c>
      <c r="DY9" s="151" t="s">
        <v>263</v>
      </c>
      <c r="DZ9" s="151" t="s">
        <v>264</v>
      </c>
      <c r="EA9" s="151" t="s">
        <v>265</v>
      </c>
    </row>
    <row r="10" spans="1:131" s="154" customFormat="1" ht="10.8" x14ac:dyDescent="0.2">
      <c r="A10" s="153" t="s">
        <v>266</v>
      </c>
      <c r="B10" s="120"/>
      <c r="C10" s="121"/>
      <c r="D10" s="121"/>
      <c r="E10" s="121"/>
      <c r="F10" s="121"/>
      <c r="G10" s="122">
        <v>39985</v>
      </c>
      <c r="H10" s="122">
        <v>43780</v>
      </c>
      <c r="I10" s="122"/>
      <c r="J10" s="123">
        <v>261</v>
      </c>
      <c r="K10" s="122">
        <v>44013</v>
      </c>
      <c r="L10" s="122">
        <v>44377</v>
      </c>
      <c r="M10" s="124">
        <v>38</v>
      </c>
      <c r="N10" s="125">
        <v>38</v>
      </c>
      <c r="O10" s="124">
        <v>1</v>
      </c>
      <c r="P10" s="126" t="s">
        <v>137</v>
      </c>
      <c r="Q10" s="127">
        <v>100</v>
      </c>
      <c r="R10" s="126" t="s">
        <v>272</v>
      </c>
      <c r="S10" s="123" t="s">
        <v>139</v>
      </c>
      <c r="T10" s="123">
        <v>4</v>
      </c>
      <c r="U10" s="126" t="s">
        <v>140</v>
      </c>
      <c r="V10" s="128">
        <v>9.5</v>
      </c>
      <c r="W10" s="128">
        <v>9.5</v>
      </c>
      <c r="X10" s="129" t="s">
        <v>273</v>
      </c>
      <c r="Y10" s="129" t="s">
        <v>274</v>
      </c>
      <c r="Z10" s="129" t="s">
        <v>274</v>
      </c>
      <c r="AA10" s="130">
        <v>43923</v>
      </c>
      <c r="AB10" s="122">
        <v>44288</v>
      </c>
      <c r="AC10" s="129" t="s">
        <v>274</v>
      </c>
      <c r="AD10" s="123">
        <v>197</v>
      </c>
      <c r="AE10" s="123">
        <v>64</v>
      </c>
      <c r="AF10" s="125">
        <v>0</v>
      </c>
      <c r="AG10" s="124">
        <v>35.630000000000003</v>
      </c>
      <c r="AH10" s="124">
        <v>1353.94</v>
      </c>
      <c r="AI10" s="124">
        <v>1353.94</v>
      </c>
      <c r="AJ10" s="124">
        <v>1353.94</v>
      </c>
      <c r="AK10" s="124">
        <v>70675.67</v>
      </c>
      <c r="AL10" s="124">
        <v>70675.67</v>
      </c>
      <c r="AM10" s="124">
        <v>37.479999999999997</v>
      </c>
      <c r="AN10" s="124">
        <v>1424.24</v>
      </c>
      <c r="AO10" s="124">
        <v>74345.33</v>
      </c>
      <c r="AP10" s="124">
        <v>38.32</v>
      </c>
      <c r="AQ10" s="124">
        <v>1456.29</v>
      </c>
      <c r="AR10" s="124">
        <v>76018.34</v>
      </c>
      <c r="AS10" s="124">
        <v>76018.34</v>
      </c>
      <c r="AT10" s="124">
        <v>37.479999999999997</v>
      </c>
      <c r="AU10" s="124">
        <v>1424.24</v>
      </c>
      <c r="AV10" s="124">
        <v>0</v>
      </c>
      <c r="AW10" s="124">
        <v>38.32</v>
      </c>
      <c r="AX10" s="124">
        <v>1456.29</v>
      </c>
      <c r="AY10" s="124">
        <v>76018.34</v>
      </c>
      <c r="AZ10" s="131">
        <v>0</v>
      </c>
      <c r="BA10" s="131">
        <v>0</v>
      </c>
      <c r="BB10" s="131">
        <v>0</v>
      </c>
      <c r="BC10" s="131">
        <v>0</v>
      </c>
      <c r="BD10" s="131">
        <v>0</v>
      </c>
      <c r="BE10" s="131">
        <v>0</v>
      </c>
      <c r="BF10" s="131">
        <v>0</v>
      </c>
      <c r="BG10" s="131">
        <v>0</v>
      </c>
      <c r="BH10" s="125">
        <v>0</v>
      </c>
      <c r="BI10" s="125">
        <v>0</v>
      </c>
      <c r="BJ10" s="125">
        <v>0</v>
      </c>
      <c r="BK10" s="125">
        <v>0</v>
      </c>
      <c r="BL10" s="125">
        <v>0</v>
      </c>
      <c r="BM10" s="125">
        <v>0</v>
      </c>
      <c r="BN10" s="125">
        <v>0</v>
      </c>
      <c r="BO10" s="125">
        <v>0</v>
      </c>
      <c r="BP10" s="132">
        <v>0</v>
      </c>
      <c r="BQ10" s="133">
        <v>0</v>
      </c>
      <c r="BR10" s="133">
        <v>0</v>
      </c>
      <c r="BS10" s="133">
        <v>0</v>
      </c>
      <c r="BT10" s="133">
        <v>0</v>
      </c>
      <c r="BU10" s="133">
        <v>0</v>
      </c>
      <c r="BV10" s="133">
        <v>0</v>
      </c>
      <c r="BW10" s="133">
        <v>0</v>
      </c>
      <c r="BX10" s="133">
        <v>0</v>
      </c>
      <c r="BY10" s="133">
        <v>0</v>
      </c>
      <c r="BZ10" s="133">
        <v>0</v>
      </c>
      <c r="CA10" s="133">
        <v>0</v>
      </c>
      <c r="CB10" s="133">
        <v>0</v>
      </c>
      <c r="CC10" s="133">
        <v>0</v>
      </c>
      <c r="CD10" s="133">
        <v>0</v>
      </c>
      <c r="CE10" s="133">
        <v>0</v>
      </c>
      <c r="CF10" s="133">
        <v>0</v>
      </c>
      <c r="CG10" s="133">
        <v>57372.7</v>
      </c>
      <c r="CH10" s="133">
        <v>18638.849999999999</v>
      </c>
      <c r="CI10" s="124">
        <v>38.32</v>
      </c>
      <c r="CJ10" s="133">
        <v>76011.55</v>
      </c>
      <c r="CK10" s="133">
        <v>0</v>
      </c>
      <c r="CL10" s="133">
        <v>0</v>
      </c>
      <c r="CM10" s="133">
        <v>77030.86</v>
      </c>
      <c r="CN10" s="133">
        <v>76011.55</v>
      </c>
      <c r="CO10" s="133">
        <v>70186.91</v>
      </c>
      <c r="CP10" s="133">
        <v>0</v>
      </c>
      <c r="CQ10" s="133">
        <v>0</v>
      </c>
      <c r="CR10" s="133">
        <v>5824.64</v>
      </c>
      <c r="CS10" s="133">
        <v>1019.31</v>
      </c>
      <c r="CT10" s="133">
        <v>6843.95</v>
      </c>
      <c r="CU10" s="133">
        <v>7317.93</v>
      </c>
      <c r="CV10" s="133">
        <v>1900.29</v>
      </c>
      <c r="CW10" s="124">
        <v>2.38</v>
      </c>
      <c r="CX10" s="133">
        <v>2052.73</v>
      </c>
      <c r="CY10" s="126" t="s">
        <v>271</v>
      </c>
      <c r="CZ10" s="126" t="s">
        <v>275</v>
      </c>
      <c r="DA10" s="126"/>
      <c r="DB10" s="134">
        <v>44013</v>
      </c>
      <c r="DC10" s="134">
        <v>44377</v>
      </c>
      <c r="DD10" s="135">
        <v>17.5</v>
      </c>
      <c r="DE10" s="135">
        <v>2.5</v>
      </c>
      <c r="DF10" s="134">
        <v>43845</v>
      </c>
      <c r="DG10" s="123">
        <v>261</v>
      </c>
      <c r="DH10" s="136">
        <v>0</v>
      </c>
      <c r="DI10" s="124">
        <v>0</v>
      </c>
      <c r="DJ10" s="135">
        <v>2.25</v>
      </c>
      <c r="DK10" s="134">
        <v>44012</v>
      </c>
      <c r="DL10" s="134">
        <v>44288</v>
      </c>
      <c r="DM10" s="126" t="s">
        <v>143</v>
      </c>
      <c r="DN10" s="126" t="s">
        <v>143</v>
      </c>
      <c r="DO10" s="126" t="s">
        <v>143</v>
      </c>
      <c r="DP10" s="128">
        <v>0</v>
      </c>
      <c r="DQ10" s="124">
        <v>0</v>
      </c>
      <c r="DR10" s="124">
        <v>0</v>
      </c>
      <c r="DS10" s="124">
        <v>0</v>
      </c>
      <c r="DT10" s="137">
        <v>281.13</v>
      </c>
      <c r="DU10" s="137">
        <v>10.32</v>
      </c>
      <c r="DV10" s="137">
        <v>7.34</v>
      </c>
      <c r="DW10" s="137">
        <v>146.22999999999999</v>
      </c>
      <c r="DX10" s="137">
        <v>6.96</v>
      </c>
      <c r="DY10" s="137">
        <v>0.88</v>
      </c>
      <c r="DZ10" s="137">
        <v>20.99</v>
      </c>
      <c r="EA10" s="137">
        <v>1.1399999999999999</v>
      </c>
    </row>
    <row r="11" spans="1:131" s="138" customFormat="1" x14ac:dyDescent="0.25">
      <c r="A11" s="155"/>
      <c r="B11" s="156"/>
      <c r="C11" s="157"/>
      <c r="D11" s="157"/>
      <c r="E11" s="157"/>
      <c r="F11" s="157"/>
      <c r="G11" s="158"/>
      <c r="H11" s="158"/>
      <c r="I11" s="158"/>
      <c r="J11" s="159"/>
      <c r="K11" s="158"/>
      <c r="L11" s="158"/>
      <c r="M11" s="160"/>
      <c r="N11" s="161"/>
      <c r="O11" s="160"/>
      <c r="P11" s="162"/>
      <c r="Q11" s="163"/>
      <c r="R11" s="162"/>
      <c r="S11" s="159"/>
      <c r="T11" s="159"/>
      <c r="U11" s="162"/>
      <c r="V11" s="164"/>
      <c r="W11" s="164"/>
      <c r="X11" s="165"/>
      <c r="Y11" s="165"/>
      <c r="Z11" s="165"/>
      <c r="AA11" s="166"/>
      <c r="AB11" s="158"/>
      <c r="AC11" s="165"/>
      <c r="AD11" s="159"/>
      <c r="AE11" s="159"/>
      <c r="AF11" s="161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7"/>
      <c r="BA11" s="167"/>
      <c r="BB11" s="167"/>
      <c r="BC11" s="167"/>
      <c r="BD11" s="167"/>
      <c r="BE11" s="167"/>
      <c r="BF11" s="167"/>
      <c r="BG11" s="167"/>
      <c r="BH11" s="161"/>
      <c r="BI11" s="161"/>
      <c r="BJ11" s="161"/>
      <c r="BK11" s="161"/>
      <c r="BL11" s="161"/>
      <c r="BM11" s="161"/>
      <c r="BN11" s="161"/>
      <c r="BO11" s="161"/>
      <c r="BP11" s="168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0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0"/>
      <c r="CX11" s="169"/>
      <c r="CY11" s="162"/>
      <c r="CZ11" s="113"/>
      <c r="DA11" s="162"/>
      <c r="DB11" s="170"/>
      <c r="DC11" s="170"/>
      <c r="DD11" s="171"/>
      <c r="DE11" s="171"/>
      <c r="DF11" s="170"/>
      <c r="DG11" s="159"/>
      <c r="DH11" s="172"/>
      <c r="DI11" s="160"/>
      <c r="DJ11" s="171"/>
      <c r="DK11" s="170"/>
      <c r="DL11" s="162"/>
      <c r="DM11" s="162"/>
      <c r="DN11" s="162"/>
      <c r="DO11" s="162"/>
      <c r="DP11" s="164"/>
      <c r="DQ11" s="160"/>
      <c r="DR11" s="160"/>
      <c r="DS11" s="160"/>
      <c r="DT11" s="173"/>
      <c r="DU11" s="173"/>
      <c r="DV11" s="173"/>
      <c r="DW11" s="173"/>
      <c r="DX11" s="173"/>
      <c r="DY11" s="173"/>
      <c r="DZ11" s="173"/>
      <c r="EA11" s="173"/>
    </row>
    <row r="12" spans="1:131" s="175" customFormat="1" ht="10.8" x14ac:dyDescent="0.2">
      <c r="A12" s="174" t="s">
        <v>281</v>
      </c>
      <c r="B12" s="120"/>
      <c r="C12" s="121"/>
      <c r="D12" s="121"/>
      <c r="E12" s="121"/>
      <c r="F12" s="121"/>
      <c r="G12" s="122"/>
      <c r="H12" s="122">
        <v>44130</v>
      </c>
      <c r="I12" s="122">
        <v>44294</v>
      </c>
      <c r="J12" s="123">
        <v>118</v>
      </c>
      <c r="K12" s="122">
        <v>44130</v>
      </c>
      <c r="L12" s="122">
        <v>44294</v>
      </c>
      <c r="M12" s="124">
        <v>38</v>
      </c>
      <c r="N12" s="125">
        <v>19</v>
      </c>
      <c r="O12" s="124">
        <v>0.5</v>
      </c>
      <c r="P12" s="126"/>
      <c r="Q12" s="127">
        <v>100</v>
      </c>
      <c r="R12" s="126"/>
      <c r="S12" s="123">
        <v>4</v>
      </c>
      <c r="T12" s="123">
        <v>2</v>
      </c>
      <c r="U12" s="126"/>
      <c r="V12" s="128">
        <v>9.5</v>
      </c>
      <c r="W12" s="128">
        <v>9.5</v>
      </c>
      <c r="X12" s="129" t="s">
        <v>273</v>
      </c>
      <c r="Y12" s="129"/>
      <c r="Z12" s="129" t="s">
        <v>274</v>
      </c>
      <c r="AA12" s="130">
        <v>43923</v>
      </c>
      <c r="AB12" s="122">
        <v>44288</v>
      </c>
      <c r="AC12" s="129" t="s">
        <v>274</v>
      </c>
      <c r="AD12" s="123">
        <v>114</v>
      </c>
      <c r="AE12" s="123">
        <v>4</v>
      </c>
      <c r="AF12" s="125">
        <v>0</v>
      </c>
      <c r="AG12" s="124">
        <v>35.630000000000003</v>
      </c>
      <c r="AH12" s="124">
        <v>676.97</v>
      </c>
      <c r="AI12" s="124">
        <v>1353.94</v>
      </c>
      <c r="AJ12" s="124">
        <v>1353.94</v>
      </c>
      <c r="AK12" s="124">
        <v>70675.67</v>
      </c>
      <c r="AL12" s="124">
        <v>35337.839999999997</v>
      </c>
      <c r="AM12" s="124">
        <v>37.479999999999997</v>
      </c>
      <c r="AN12" s="124">
        <v>1424.24</v>
      </c>
      <c r="AO12" s="124">
        <v>74345.33</v>
      </c>
      <c r="AP12" s="124">
        <v>38.32</v>
      </c>
      <c r="AQ12" s="124">
        <v>1456.29</v>
      </c>
      <c r="AR12" s="124">
        <v>34368.44</v>
      </c>
      <c r="AS12" s="124">
        <v>17184.22</v>
      </c>
      <c r="AT12" s="124">
        <v>37.479999999999997</v>
      </c>
      <c r="AU12" s="124">
        <v>1424.24</v>
      </c>
      <c r="AV12" s="124">
        <v>0</v>
      </c>
      <c r="AW12" s="124">
        <v>38.32</v>
      </c>
      <c r="AX12" s="124">
        <v>1456.29</v>
      </c>
      <c r="AY12" s="124">
        <v>34368.44</v>
      </c>
      <c r="AZ12" s="131"/>
      <c r="BA12" s="131"/>
      <c r="BB12" s="131"/>
      <c r="BC12" s="131"/>
      <c r="BD12" s="131"/>
      <c r="BE12" s="131"/>
      <c r="BF12" s="131"/>
      <c r="BG12" s="131"/>
      <c r="BH12" s="125"/>
      <c r="BI12" s="125"/>
      <c r="BJ12" s="125"/>
      <c r="BK12" s="125"/>
      <c r="BL12" s="125"/>
      <c r="BM12" s="125"/>
      <c r="BN12" s="125"/>
      <c r="BO12" s="125"/>
      <c r="BP12" s="132"/>
      <c r="BQ12" s="133">
        <v>0</v>
      </c>
      <c r="BR12" s="133">
        <v>0</v>
      </c>
      <c r="BS12" s="133">
        <v>0</v>
      </c>
      <c r="BT12" s="133">
        <v>0</v>
      </c>
      <c r="BU12" s="133">
        <v>0</v>
      </c>
      <c r="BV12" s="133">
        <v>0</v>
      </c>
      <c r="BW12" s="133">
        <v>0</v>
      </c>
      <c r="BX12" s="133">
        <v>0</v>
      </c>
      <c r="BY12" s="133">
        <v>0</v>
      </c>
      <c r="BZ12" s="133">
        <v>0</v>
      </c>
      <c r="CA12" s="133">
        <v>0</v>
      </c>
      <c r="CB12" s="133">
        <v>0</v>
      </c>
      <c r="CC12" s="133">
        <v>0</v>
      </c>
      <c r="CD12" s="133">
        <v>0</v>
      </c>
      <c r="CE12" s="133">
        <v>0</v>
      </c>
      <c r="CF12" s="133">
        <v>0</v>
      </c>
      <c r="CG12" s="133">
        <v>16600.22</v>
      </c>
      <c r="CH12" s="133">
        <v>582.46</v>
      </c>
      <c r="CI12" s="124">
        <v>38.32</v>
      </c>
      <c r="CJ12" s="133">
        <v>17182.68</v>
      </c>
      <c r="CK12" s="133">
        <v>0</v>
      </c>
      <c r="CL12" s="133">
        <v>0</v>
      </c>
      <c r="CM12" s="133">
        <v>17437.509999999998</v>
      </c>
      <c r="CN12" s="133">
        <v>17182.68</v>
      </c>
      <c r="CO12" s="133">
        <v>15726.52</v>
      </c>
      <c r="CP12" s="133">
        <v>0</v>
      </c>
      <c r="CQ12" s="133">
        <v>0</v>
      </c>
      <c r="CR12" s="133">
        <v>1456.16</v>
      </c>
      <c r="CS12" s="133">
        <v>254.83</v>
      </c>
      <c r="CT12" s="133">
        <v>1710.99</v>
      </c>
      <c r="CU12" s="133">
        <v>1656.56</v>
      </c>
      <c r="CV12" s="133">
        <v>429.57</v>
      </c>
      <c r="CW12" s="124">
        <v>2.38</v>
      </c>
      <c r="CX12" s="133">
        <v>464.66</v>
      </c>
      <c r="CY12" s="126"/>
      <c r="CZ12" s="126" t="s">
        <v>275</v>
      </c>
      <c r="DA12" s="126" t="s">
        <v>276</v>
      </c>
      <c r="DB12" s="126" t="s">
        <v>277</v>
      </c>
      <c r="DC12" s="126" t="s">
        <v>278</v>
      </c>
      <c r="DD12" s="135">
        <v>17.5</v>
      </c>
      <c r="DE12" s="135">
        <v>2.5</v>
      </c>
      <c r="DF12" s="126"/>
      <c r="DG12" s="123">
        <v>261</v>
      </c>
      <c r="DH12" s="136">
        <v>0</v>
      </c>
      <c r="DI12" s="124">
        <v>0</v>
      </c>
      <c r="DJ12" s="135">
        <v>2.25</v>
      </c>
      <c r="DK12" s="126" t="s">
        <v>279</v>
      </c>
      <c r="DL12" s="126" t="s">
        <v>280</v>
      </c>
      <c r="DM12" s="126" t="s">
        <v>143</v>
      </c>
      <c r="DN12" s="126" t="s">
        <v>143</v>
      </c>
      <c r="DO12" s="126" t="s">
        <v>143</v>
      </c>
      <c r="DP12" s="128"/>
      <c r="DQ12" s="124">
        <v>35.630600000000001</v>
      </c>
      <c r="DR12" s="124">
        <v>37.476799999999997</v>
      </c>
      <c r="DS12" s="124">
        <v>37.476799999999997</v>
      </c>
      <c r="DT12" s="137">
        <v>281.13</v>
      </c>
      <c r="DU12" s="137">
        <v>10.32</v>
      </c>
      <c r="DV12" s="137">
        <v>7.34</v>
      </c>
      <c r="DW12" s="137">
        <v>146.22999999999999</v>
      </c>
      <c r="DX12" s="137">
        <v>6.96</v>
      </c>
      <c r="DY12" s="137">
        <v>0.88</v>
      </c>
      <c r="DZ12" s="137">
        <v>20.99</v>
      </c>
      <c r="EA12" s="137">
        <v>1.1399999999999999</v>
      </c>
    </row>
    <row r="13" spans="1:131" s="196" customFormat="1" ht="13.2" x14ac:dyDescent="0.25">
      <c r="A13" s="176"/>
      <c r="B13" s="177"/>
      <c r="C13" s="178"/>
      <c r="D13" s="178"/>
      <c r="E13" s="178"/>
      <c r="F13" s="178"/>
      <c r="G13" s="179"/>
      <c r="H13" s="179"/>
      <c r="I13" s="179"/>
      <c r="J13" s="180"/>
      <c r="K13" s="179"/>
      <c r="L13" s="179"/>
      <c r="M13" s="181"/>
      <c r="N13" s="182"/>
      <c r="O13" s="181"/>
      <c r="P13" s="183"/>
      <c r="Q13" s="184"/>
      <c r="R13" s="183"/>
      <c r="S13" s="180"/>
      <c r="T13" s="180"/>
      <c r="U13" s="183"/>
      <c r="V13" s="185"/>
      <c r="W13" s="185"/>
      <c r="X13" s="186"/>
      <c r="Y13" s="186"/>
      <c r="Z13" s="186"/>
      <c r="AA13" s="187"/>
      <c r="AB13" s="179"/>
      <c r="AC13" s="186"/>
      <c r="AD13" s="180"/>
      <c r="AE13" s="180"/>
      <c r="AF13" s="182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8"/>
      <c r="BA13" s="188"/>
      <c r="BB13" s="188"/>
      <c r="BC13" s="188"/>
      <c r="BD13" s="188"/>
      <c r="BE13" s="188"/>
      <c r="BF13" s="188"/>
      <c r="BG13" s="188"/>
      <c r="BH13" s="182"/>
      <c r="BI13" s="182"/>
      <c r="BJ13" s="182"/>
      <c r="BK13" s="182"/>
      <c r="BL13" s="182"/>
      <c r="BM13" s="182"/>
      <c r="BN13" s="182"/>
      <c r="BO13" s="182"/>
      <c r="BP13" s="189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81"/>
      <c r="CJ13" s="190"/>
      <c r="CK13" s="190"/>
      <c r="CL13" s="190"/>
      <c r="CM13" s="190"/>
      <c r="CN13" s="190"/>
      <c r="CO13" s="191">
        <f t="shared" ref="CO13:CV13" si="1">SUBTOTAL(9,CO10:CO12)</f>
        <v>85913.430000000008</v>
      </c>
      <c r="CP13" s="191">
        <f t="shared" si="1"/>
        <v>0</v>
      </c>
      <c r="CQ13" s="191">
        <f t="shared" si="1"/>
        <v>0</v>
      </c>
      <c r="CR13" s="191">
        <f t="shared" si="1"/>
        <v>7280.8</v>
      </c>
      <c r="CS13" s="191">
        <f t="shared" si="1"/>
        <v>1274.1399999999999</v>
      </c>
      <c r="CT13" s="191">
        <f t="shared" si="1"/>
        <v>8554.94</v>
      </c>
      <c r="CU13" s="191">
        <f t="shared" si="1"/>
        <v>8974.49</v>
      </c>
      <c r="CV13" s="191">
        <f t="shared" si="1"/>
        <v>2329.86</v>
      </c>
      <c r="CW13" s="191"/>
      <c r="CX13" s="191">
        <f>SUBTOTAL(9,CX10:CX12)</f>
        <v>2517.39</v>
      </c>
      <c r="CY13" s="183"/>
      <c r="CZ13" s="183"/>
      <c r="DA13" s="183"/>
      <c r="DB13" s="192"/>
      <c r="DC13" s="192"/>
      <c r="DD13" s="193"/>
      <c r="DE13" s="193"/>
      <c r="DF13" s="192"/>
      <c r="DG13" s="180"/>
      <c r="DH13" s="194"/>
      <c r="DI13" s="181"/>
      <c r="DJ13" s="193"/>
      <c r="DK13" s="192"/>
      <c r="DL13" s="183"/>
      <c r="DM13" s="183"/>
      <c r="DN13" s="183"/>
      <c r="DO13" s="183"/>
      <c r="DP13" s="185"/>
      <c r="DQ13" s="181"/>
      <c r="DR13" s="181"/>
      <c r="DS13" s="181"/>
      <c r="DT13" s="195"/>
      <c r="DU13" s="195"/>
      <c r="DV13" s="195"/>
      <c r="DW13" s="195"/>
      <c r="DX13" s="195"/>
      <c r="DY13" s="195"/>
      <c r="DZ13" s="195"/>
      <c r="EA13" s="195"/>
    </row>
    <row r="14" spans="1:131" s="152" customFormat="1" ht="13.2" x14ac:dyDescent="0.25"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</row>
    <row r="15" spans="1:131" s="196" customFormat="1" ht="13.2" x14ac:dyDescent="0.25">
      <c r="A15" s="176"/>
      <c r="B15" s="177"/>
      <c r="C15" s="178"/>
      <c r="D15" s="178"/>
      <c r="E15" s="178"/>
      <c r="F15" s="178"/>
      <c r="G15" s="179"/>
      <c r="H15" s="179"/>
      <c r="I15" s="179"/>
      <c r="J15" s="180"/>
      <c r="K15" s="179"/>
      <c r="L15" s="179"/>
      <c r="M15" s="181"/>
      <c r="N15" s="182"/>
      <c r="O15" s="181"/>
      <c r="P15" s="183"/>
      <c r="Q15" s="184"/>
      <c r="R15" s="183"/>
      <c r="S15" s="180"/>
      <c r="T15" s="180"/>
      <c r="U15" s="183"/>
      <c r="V15" s="185"/>
      <c r="W15" s="185"/>
      <c r="X15" s="186"/>
      <c r="Y15" s="186"/>
      <c r="Z15" s="186"/>
      <c r="AA15" s="187"/>
      <c r="AB15" s="179"/>
      <c r="AC15" s="186"/>
      <c r="AD15" s="180"/>
      <c r="AE15" s="180"/>
      <c r="AF15" s="182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8"/>
      <c r="BA15" s="188"/>
      <c r="BB15" s="188"/>
      <c r="BC15" s="188"/>
      <c r="BD15" s="188"/>
      <c r="BE15" s="188"/>
      <c r="BF15" s="188"/>
      <c r="BG15" s="188"/>
      <c r="BH15" s="182"/>
      <c r="BI15" s="182"/>
      <c r="BJ15" s="182"/>
      <c r="BK15" s="182"/>
      <c r="BL15" s="182"/>
      <c r="BM15" s="182"/>
      <c r="BN15" s="182"/>
      <c r="BO15" s="182"/>
      <c r="BP15" s="189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81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81"/>
      <c r="CX15" s="190"/>
      <c r="CY15" s="183"/>
      <c r="CZ15" s="183"/>
      <c r="DA15" s="183"/>
      <c r="DB15" s="192"/>
      <c r="DC15" s="192"/>
      <c r="DD15" s="193"/>
      <c r="DE15" s="193"/>
      <c r="DF15" s="192"/>
      <c r="DG15" s="180"/>
      <c r="DH15" s="194"/>
      <c r="DI15" s="181"/>
      <c r="DJ15" s="193"/>
      <c r="DK15" s="192"/>
      <c r="DL15" s="183"/>
      <c r="DM15" s="183"/>
      <c r="DN15" s="183"/>
      <c r="DO15" s="183"/>
      <c r="DP15" s="185"/>
      <c r="DQ15" s="181"/>
      <c r="DR15" s="181"/>
      <c r="DS15" s="181"/>
      <c r="DT15" s="195"/>
      <c r="DU15" s="195"/>
      <c r="DV15" s="195"/>
      <c r="DW15" s="195"/>
      <c r="DX15" s="195"/>
      <c r="DY15" s="195"/>
      <c r="DZ15" s="195"/>
      <c r="EA15" s="195"/>
    </row>
    <row r="16" spans="1:131" x14ac:dyDescent="0.25">
      <c r="CO16" s="101" t="s">
        <v>282</v>
      </c>
      <c r="CR16" s="198">
        <f>CO12+CP12+CQ12+CT12+CU12+CV12+CX12</f>
        <v>19988.300000000003</v>
      </c>
    </row>
    <row r="18" spans="1:96" x14ac:dyDescent="0.25">
      <c r="CR18" s="199"/>
    </row>
    <row r="20" spans="1:96" x14ac:dyDescent="0.25">
      <c r="A20" s="107" t="s">
        <v>269</v>
      </c>
      <c r="D20" s="116" t="s">
        <v>267</v>
      </c>
      <c r="CO20" s="200">
        <v>44130</v>
      </c>
      <c r="CP20" s="107" t="s">
        <v>270</v>
      </c>
    </row>
    <row r="21" spans="1:96" x14ac:dyDescent="0.25">
      <c r="D21" s="116" t="s">
        <v>268</v>
      </c>
      <c r="CO21" s="200">
        <v>44294</v>
      </c>
    </row>
  </sheetData>
  <printOptions horizontalCentered="1"/>
  <pageMargins left="0" right="0" top="0.74803149606299213" bottom="0.74803149606299213" header="0.31496062992125984" footer="0.31496062992125984"/>
  <pageSetup paperSize="9" scale="80" orientation="landscape" verticalDpi="0" r:id="rId1"/>
  <headerFooter>
    <oddHeader>&amp;C&amp;F</oddHeader>
    <oddFooter>&amp;L&amp;D, &amp;T&amp;R&amp;P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64E5-6A4D-4408-9D6E-855F3B13D6B4}">
  <dimension ref="A1"/>
  <sheetViews>
    <sheetView workbookViewId="0">
      <selection activeCell="M62" sqref="M6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5CDC-0F27-4530-818B-68FBCD071A55}">
  <dimension ref="A1:B34"/>
  <sheetViews>
    <sheetView workbookViewId="0">
      <selection sqref="A1:B34"/>
    </sheetView>
  </sheetViews>
  <sheetFormatPr defaultRowHeight="14.4" x14ac:dyDescent="0.3"/>
  <cols>
    <col min="1" max="1" width="11.6640625" bestFit="1" customWidth="1"/>
    <col min="2" max="2" width="24.33203125" bestFit="1" customWidth="1"/>
  </cols>
  <sheetData>
    <row r="1" spans="1:2" x14ac:dyDescent="0.3">
      <c r="A1" s="261" t="s">
        <v>478</v>
      </c>
      <c r="B1" s="262" t="s">
        <v>479</v>
      </c>
    </row>
    <row r="2" spans="1:2" x14ac:dyDescent="0.3">
      <c r="A2" s="261">
        <v>425</v>
      </c>
      <c r="B2" s="262" t="s">
        <v>480</v>
      </c>
    </row>
    <row r="3" spans="1:2" x14ac:dyDescent="0.3">
      <c r="A3" s="261">
        <v>445</v>
      </c>
      <c r="B3" s="262" t="s">
        <v>481</v>
      </c>
    </row>
    <row r="4" spans="1:2" x14ac:dyDescent="0.3">
      <c r="A4" s="261" t="s">
        <v>482</v>
      </c>
      <c r="B4" s="262" t="s">
        <v>483</v>
      </c>
    </row>
    <row r="5" spans="1:2" x14ac:dyDescent="0.3">
      <c r="A5" s="261">
        <v>485</v>
      </c>
      <c r="B5" s="262" t="s">
        <v>484</v>
      </c>
    </row>
    <row r="6" spans="1:2" x14ac:dyDescent="0.3">
      <c r="A6" s="261" t="s">
        <v>485</v>
      </c>
      <c r="B6" s="262" t="s">
        <v>486</v>
      </c>
    </row>
    <row r="7" spans="1:2" x14ac:dyDescent="0.3">
      <c r="A7" s="261" t="s">
        <v>487</v>
      </c>
      <c r="B7" s="262" t="s">
        <v>488</v>
      </c>
    </row>
    <row r="8" spans="1:2" x14ac:dyDescent="0.3">
      <c r="A8" s="261" t="s">
        <v>489</v>
      </c>
      <c r="B8" s="262" t="s">
        <v>490</v>
      </c>
    </row>
    <row r="9" spans="1:2" x14ac:dyDescent="0.3">
      <c r="A9" s="261" t="s">
        <v>491</v>
      </c>
      <c r="B9" s="262" t="s">
        <v>492</v>
      </c>
    </row>
    <row r="10" spans="1:2" x14ac:dyDescent="0.3">
      <c r="A10" s="261" t="s">
        <v>493</v>
      </c>
      <c r="B10" s="262" t="s">
        <v>494</v>
      </c>
    </row>
    <row r="11" spans="1:2" x14ac:dyDescent="0.3">
      <c r="A11" s="261" t="s">
        <v>495</v>
      </c>
      <c r="B11" s="262" t="s">
        <v>496</v>
      </c>
    </row>
    <row r="12" spans="1:2" x14ac:dyDescent="0.3">
      <c r="A12" s="261" t="s">
        <v>497</v>
      </c>
      <c r="B12" s="262" t="s">
        <v>498</v>
      </c>
    </row>
    <row r="13" spans="1:2" x14ac:dyDescent="0.3">
      <c r="A13" s="261" t="s">
        <v>499</v>
      </c>
      <c r="B13" s="262" t="s">
        <v>500</v>
      </c>
    </row>
    <row r="14" spans="1:2" x14ac:dyDescent="0.3">
      <c r="A14" s="261" t="s">
        <v>501</v>
      </c>
      <c r="B14" s="262" t="s">
        <v>502</v>
      </c>
    </row>
    <row r="15" spans="1:2" x14ac:dyDescent="0.3">
      <c r="A15" s="261" t="s">
        <v>503</v>
      </c>
      <c r="B15" s="262" t="s">
        <v>504</v>
      </c>
    </row>
    <row r="16" spans="1:2" x14ac:dyDescent="0.3">
      <c r="A16" s="261" t="s">
        <v>505</v>
      </c>
      <c r="B16" s="262" t="s">
        <v>506</v>
      </c>
    </row>
    <row r="17" spans="1:2" x14ac:dyDescent="0.3">
      <c r="A17" s="261" t="s">
        <v>507</v>
      </c>
      <c r="B17" s="262" t="s">
        <v>508</v>
      </c>
    </row>
    <row r="18" spans="1:2" x14ac:dyDescent="0.3">
      <c r="A18" s="261" t="s">
        <v>509</v>
      </c>
      <c r="B18" s="262" t="s">
        <v>510</v>
      </c>
    </row>
    <row r="19" spans="1:2" x14ac:dyDescent="0.3">
      <c r="A19" s="261" t="s">
        <v>511</v>
      </c>
      <c r="B19" s="262" t="s">
        <v>512</v>
      </c>
    </row>
    <row r="20" spans="1:2" x14ac:dyDescent="0.3">
      <c r="A20" s="261" t="s">
        <v>513</v>
      </c>
      <c r="B20" s="262" t="s">
        <v>514</v>
      </c>
    </row>
    <row r="21" spans="1:2" x14ac:dyDescent="0.3">
      <c r="A21" s="261" t="s">
        <v>515</v>
      </c>
      <c r="B21" s="262" t="s">
        <v>516</v>
      </c>
    </row>
    <row r="22" spans="1:2" x14ac:dyDescent="0.3">
      <c r="A22" s="261" t="s">
        <v>272</v>
      </c>
      <c r="B22" s="262" t="s">
        <v>517</v>
      </c>
    </row>
    <row r="23" spans="1:2" x14ac:dyDescent="0.3">
      <c r="A23" s="261" t="s">
        <v>518</v>
      </c>
      <c r="B23" s="262" t="s">
        <v>519</v>
      </c>
    </row>
    <row r="24" spans="1:2" x14ac:dyDescent="0.3">
      <c r="A24" s="261" t="s">
        <v>520</v>
      </c>
      <c r="B24" s="262" t="s">
        <v>521</v>
      </c>
    </row>
    <row r="25" spans="1:2" x14ac:dyDescent="0.3">
      <c r="A25" s="261" t="s">
        <v>522</v>
      </c>
      <c r="B25" s="262" t="s">
        <v>523</v>
      </c>
    </row>
    <row r="26" spans="1:2" x14ac:dyDescent="0.3">
      <c r="A26" s="261" t="s">
        <v>524</v>
      </c>
      <c r="B26" s="262" t="s">
        <v>525</v>
      </c>
    </row>
    <row r="27" spans="1:2" x14ac:dyDescent="0.3">
      <c r="A27" s="261" t="s">
        <v>526</v>
      </c>
      <c r="B27" s="262" t="s">
        <v>527</v>
      </c>
    </row>
    <row r="28" spans="1:2" x14ac:dyDescent="0.3">
      <c r="A28" s="261" t="s">
        <v>528</v>
      </c>
      <c r="B28" s="262" t="s">
        <v>529</v>
      </c>
    </row>
    <row r="29" spans="1:2" x14ac:dyDescent="0.3">
      <c r="A29" s="261" t="s">
        <v>530</v>
      </c>
      <c r="B29" s="262" t="s">
        <v>531</v>
      </c>
    </row>
    <row r="30" spans="1:2" x14ac:dyDescent="0.3">
      <c r="A30" s="261" t="s">
        <v>532</v>
      </c>
      <c r="B30" s="262" t="s">
        <v>533</v>
      </c>
    </row>
    <row r="31" spans="1:2" x14ac:dyDescent="0.3">
      <c r="A31" s="261" t="s">
        <v>534</v>
      </c>
      <c r="B31" s="262" t="s">
        <v>535</v>
      </c>
    </row>
    <row r="32" spans="1:2" x14ac:dyDescent="0.3">
      <c r="A32" s="261" t="s">
        <v>138</v>
      </c>
      <c r="B32" s="262" t="s">
        <v>531</v>
      </c>
    </row>
    <row r="33" spans="1:2" x14ac:dyDescent="0.3">
      <c r="A33" s="261" t="s">
        <v>536</v>
      </c>
      <c r="B33" s="262" t="s">
        <v>537</v>
      </c>
    </row>
    <row r="34" spans="1:2" x14ac:dyDescent="0.3">
      <c r="A34" s="261" t="s">
        <v>538</v>
      </c>
      <c r="B34" s="262" t="s">
        <v>539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4703-6641-4CD4-996A-B0FD3C45F497}">
  <dimension ref="A1:B185"/>
  <sheetViews>
    <sheetView workbookViewId="0">
      <selection sqref="A1:B185"/>
    </sheetView>
  </sheetViews>
  <sheetFormatPr defaultRowHeight="14.4" x14ac:dyDescent="0.3"/>
  <cols>
    <col min="1" max="1" width="19.44140625" bestFit="1" customWidth="1"/>
    <col min="2" max="2" width="26.21875" bestFit="1" customWidth="1"/>
  </cols>
  <sheetData>
    <row r="1" spans="1:2" x14ac:dyDescent="0.3">
      <c r="A1" s="263" t="s">
        <v>540</v>
      </c>
      <c r="B1" t="s">
        <v>479</v>
      </c>
    </row>
    <row r="2" spans="1:2" x14ac:dyDescent="0.3">
      <c r="A2" s="263">
        <v>1</v>
      </c>
      <c r="B2" t="s">
        <v>541</v>
      </c>
    </row>
    <row r="3" spans="1:2" x14ac:dyDescent="0.3">
      <c r="A3" s="263">
        <v>10</v>
      </c>
      <c r="B3" t="s">
        <v>542</v>
      </c>
    </row>
    <row r="4" spans="1:2" x14ac:dyDescent="0.3">
      <c r="A4" s="263">
        <v>12</v>
      </c>
      <c r="B4" t="s">
        <v>543</v>
      </c>
    </row>
    <row r="5" spans="1:2" x14ac:dyDescent="0.3">
      <c r="A5" s="263">
        <v>120</v>
      </c>
      <c r="B5" t="s">
        <v>544</v>
      </c>
    </row>
    <row r="6" spans="1:2" x14ac:dyDescent="0.3">
      <c r="A6" s="263">
        <v>125</v>
      </c>
      <c r="B6" t="s">
        <v>545</v>
      </c>
    </row>
    <row r="7" spans="1:2" x14ac:dyDescent="0.3">
      <c r="A7" s="263">
        <v>1250</v>
      </c>
      <c r="B7" t="s">
        <v>546</v>
      </c>
    </row>
    <row r="8" spans="1:2" x14ac:dyDescent="0.3">
      <c r="A8" s="263">
        <v>15</v>
      </c>
      <c r="B8" t="s">
        <v>547</v>
      </c>
    </row>
    <row r="9" spans="1:2" x14ac:dyDescent="0.3">
      <c r="A9" s="263">
        <v>150</v>
      </c>
      <c r="B9" t="s">
        <v>548</v>
      </c>
    </row>
    <row r="10" spans="1:2" x14ac:dyDescent="0.3">
      <c r="A10" s="263">
        <v>2</v>
      </c>
      <c r="B10" t="s">
        <v>549</v>
      </c>
    </row>
    <row r="11" spans="1:2" x14ac:dyDescent="0.3">
      <c r="A11" s="263">
        <v>25</v>
      </c>
      <c r="B11" t="s">
        <v>550</v>
      </c>
    </row>
    <row r="12" spans="1:2" x14ac:dyDescent="0.3">
      <c r="A12" s="263" t="s">
        <v>551</v>
      </c>
      <c r="B12" t="s">
        <v>552</v>
      </c>
    </row>
    <row r="13" spans="1:2" x14ac:dyDescent="0.3">
      <c r="A13" s="263" t="s">
        <v>553</v>
      </c>
      <c r="B13" t="s">
        <v>554</v>
      </c>
    </row>
    <row r="14" spans="1:2" x14ac:dyDescent="0.3">
      <c r="A14" s="263" t="s">
        <v>555</v>
      </c>
      <c r="B14" t="s">
        <v>556</v>
      </c>
    </row>
    <row r="15" spans="1:2" x14ac:dyDescent="0.3">
      <c r="A15" s="263" t="s">
        <v>557</v>
      </c>
      <c r="B15" t="s">
        <v>558</v>
      </c>
    </row>
    <row r="16" spans="1:2" x14ac:dyDescent="0.3">
      <c r="A16" s="263" t="s">
        <v>559</v>
      </c>
      <c r="B16" t="s">
        <v>560</v>
      </c>
    </row>
    <row r="17" spans="1:2" x14ac:dyDescent="0.3">
      <c r="A17" s="263" t="s">
        <v>561</v>
      </c>
      <c r="B17" t="s">
        <v>562</v>
      </c>
    </row>
    <row r="18" spans="1:2" x14ac:dyDescent="0.3">
      <c r="A18" s="263" t="s">
        <v>563</v>
      </c>
      <c r="B18" t="s">
        <v>564</v>
      </c>
    </row>
    <row r="19" spans="1:2" x14ac:dyDescent="0.3">
      <c r="A19" s="263" t="s">
        <v>565</v>
      </c>
      <c r="B19" t="s">
        <v>566</v>
      </c>
    </row>
    <row r="20" spans="1:2" x14ac:dyDescent="0.3">
      <c r="A20" s="263" t="s">
        <v>567</v>
      </c>
      <c r="B20" t="s">
        <v>568</v>
      </c>
    </row>
    <row r="21" spans="1:2" x14ac:dyDescent="0.3">
      <c r="A21" s="263" t="s">
        <v>569</v>
      </c>
      <c r="B21" t="s">
        <v>570</v>
      </c>
    </row>
    <row r="22" spans="1:2" x14ac:dyDescent="0.3">
      <c r="A22" s="263" t="s">
        <v>571</v>
      </c>
      <c r="B22" t="s">
        <v>572</v>
      </c>
    </row>
    <row r="23" spans="1:2" x14ac:dyDescent="0.3">
      <c r="A23" s="263" t="s">
        <v>573</v>
      </c>
      <c r="B23" t="s">
        <v>574</v>
      </c>
    </row>
    <row r="24" spans="1:2" x14ac:dyDescent="0.3">
      <c r="A24" s="263" t="s">
        <v>575</v>
      </c>
      <c r="B24" t="s">
        <v>576</v>
      </c>
    </row>
    <row r="25" spans="1:2" x14ac:dyDescent="0.3">
      <c r="A25" s="263" t="s">
        <v>577</v>
      </c>
      <c r="B25" t="s">
        <v>578</v>
      </c>
    </row>
    <row r="26" spans="1:2" x14ac:dyDescent="0.3">
      <c r="A26" s="263" t="s">
        <v>579</v>
      </c>
      <c r="B26" t="s">
        <v>580</v>
      </c>
    </row>
    <row r="27" spans="1:2" x14ac:dyDescent="0.3">
      <c r="A27" s="263" t="s">
        <v>581</v>
      </c>
      <c r="B27" t="s">
        <v>582</v>
      </c>
    </row>
    <row r="28" spans="1:2" x14ac:dyDescent="0.3">
      <c r="A28" s="263" t="s">
        <v>583</v>
      </c>
      <c r="B28" t="s">
        <v>584</v>
      </c>
    </row>
    <row r="29" spans="1:2" x14ac:dyDescent="0.3">
      <c r="A29" s="263" t="s">
        <v>585</v>
      </c>
      <c r="B29" t="s">
        <v>586</v>
      </c>
    </row>
    <row r="30" spans="1:2" x14ac:dyDescent="0.3">
      <c r="A30" s="263" t="s">
        <v>587</v>
      </c>
      <c r="B30" t="s">
        <v>588</v>
      </c>
    </row>
    <row r="31" spans="1:2" x14ac:dyDescent="0.3">
      <c r="A31" s="263" t="s">
        <v>589</v>
      </c>
      <c r="B31" t="s">
        <v>590</v>
      </c>
    </row>
    <row r="32" spans="1:2" x14ac:dyDescent="0.3">
      <c r="A32" s="263" t="s">
        <v>591</v>
      </c>
      <c r="B32" t="s">
        <v>592</v>
      </c>
    </row>
    <row r="33" spans="1:2" x14ac:dyDescent="0.3">
      <c r="A33" s="263" t="s">
        <v>593</v>
      </c>
      <c r="B33" t="s">
        <v>594</v>
      </c>
    </row>
    <row r="34" spans="1:2" x14ac:dyDescent="0.3">
      <c r="A34" s="263" t="s">
        <v>595</v>
      </c>
      <c r="B34" t="s">
        <v>596</v>
      </c>
    </row>
    <row r="35" spans="1:2" x14ac:dyDescent="0.3">
      <c r="A35" s="263" t="s">
        <v>597</v>
      </c>
      <c r="B35" t="s">
        <v>598</v>
      </c>
    </row>
    <row r="36" spans="1:2" x14ac:dyDescent="0.3">
      <c r="A36" s="263" t="s">
        <v>599</v>
      </c>
      <c r="B36" t="s">
        <v>600</v>
      </c>
    </row>
    <row r="37" spans="1:2" x14ac:dyDescent="0.3">
      <c r="A37" s="263" t="s">
        <v>601</v>
      </c>
      <c r="B37" t="s">
        <v>602</v>
      </c>
    </row>
    <row r="38" spans="1:2" x14ac:dyDescent="0.3">
      <c r="A38" s="263" t="s">
        <v>603</v>
      </c>
      <c r="B38" t="s">
        <v>604</v>
      </c>
    </row>
    <row r="39" spans="1:2" x14ac:dyDescent="0.3">
      <c r="A39" s="263" t="s">
        <v>605</v>
      </c>
      <c r="B39" t="s">
        <v>606</v>
      </c>
    </row>
    <row r="40" spans="1:2" x14ac:dyDescent="0.3">
      <c r="A40" s="263" t="s">
        <v>607</v>
      </c>
      <c r="B40" t="s">
        <v>608</v>
      </c>
    </row>
    <row r="41" spans="1:2" x14ac:dyDescent="0.3">
      <c r="A41" s="263" t="s">
        <v>609</v>
      </c>
      <c r="B41" t="s">
        <v>610</v>
      </c>
    </row>
    <row r="42" spans="1:2" x14ac:dyDescent="0.3">
      <c r="A42" s="263" t="s">
        <v>611</v>
      </c>
      <c r="B42" t="s">
        <v>612</v>
      </c>
    </row>
    <row r="43" spans="1:2" x14ac:dyDescent="0.3">
      <c r="A43" s="263" t="s">
        <v>613</v>
      </c>
      <c r="B43" t="s">
        <v>614</v>
      </c>
    </row>
    <row r="44" spans="1:2" x14ac:dyDescent="0.3">
      <c r="A44" s="263" t="s">
        <v>615</v>
      </c>
      <c r="B44" t="s">
        <v>616</v>
      </c>
    </row>
    <row r="45" spans="1:2" x14ac:dyDescent="0.3">
      <c r="A45" s="263" t="s">
        <v>617</v>
      </c>
      <c r="B45" t="s">
        <v>618</v>
      </c>
    </row>
    <row r="46" spans="1:2" x14ac:dyDescent="0.3">
      <c r="A46" s="263" t="s">
        <v>619</v>
      </c>
      <c r="B46" t="s">
        <v>620</v>
      </c>
    </row>
    <row r="47" spans="1:2" x14ac:dyDescent="0.3">
      <c r="A47" s="263" t="s">
        <v>621</v>
      </c>
      <c r="B47" t="s">
        <v>622</v>
      </c>
    </row>
    <row r="48" spans="1:2" x14ac:dyDescent="0.3">
      <c r="A48" s="263" t="s">
        <v>623</v>
      </c>
      <c r="B48" t="s">
        <v>624</v>
      </c>
    </row>
    <row r="49" spans="1:2" x14ac:dyDescent="0.3">
      <c r="A49" s="263" t="s">
        <v>625</v>
      </c>
      <c r="B49" t="s">
        <v>626</v>
      </c>
    </row>
    <row r="50" spans="1:2" x14ac:dyDescent="0.3">
      <c r="A50" s="263" t="s">
        <v>627</v>
      </c>
      <c r="B50" t="s">
        <v>628</v>
      </c>
    </row>
    <row r="51" spans="1:2" x14ac:dyDescent="0.3">
      <c r="A51" s="263" t="s">
        <v>629</v>
      </c>
      <c r="B51" t="s">
        <v>630</v>
      </c>
    </row>
    <row r="52" spans="1:2" x14ac:dyDescent="0.3">
      <c r="A52" s="263" t="s">
        <v>631</v>
      </c>
      <c r="B52" t="s">
        <v>632</v>
      </c>
    </row>
    <row r="53" spans="1:2" x14ac:dyDescent="0.3">
      <c r="A53" s="263" t="s">
        <v>633</v>
      </c>
      <c r="B53" t="s">
        <v>634</v>
      </c>
    </row>
    <row r="54" spans="1:2" x14ac:dyDescent="0.3">
      <c r="A54" s="263" t="s">
        <v>635</v>
      </c>
      <c r="B54" t="s">
        <v>636</v>
      </c>
    </row>
    <row r="55" spans="1:2" x14ac:dyDescent="0.3">
      <c r="A55" s="263" t="s">
        <v>637</v>
      </c>
      <c r="B55" t="s">
        <v>638</v>
      </c>
    </row>
    <row r="56" spans="1:2" x14ac:dyDescent="0.3">
      <c r="A56" s="263" t="s">
        <v>639</v>
      </c>
      <c r="B56" t="s">
        <v>640</v>
      </c>
    </row>
    <row r="57" spans="1:2" x14ac:dyDescent="0.3">
      <c r="A57" s="263" t="s">
        <v>641</v>
      </c>
      <c r="B57" t="s">
        <v>642</v>
      </c>
    </row>
    <row r="58" spans="1:2" x14ac:dyDescent="0.3">
      <c r="A58" s="263" t="s">
        <v>643</v>
      </c>
      <c r="B58" t="s">
        <v>644</v>
      </c>
    </row>
    <row r="59" spans="1:2" x14ac:dyDescent="0.3">
      <c r="A59" s="263" t="s">
        <v>645</v>
      </c>
      <c r="B59" t="s">
        <v>646</v>
      </c>
    </row>
    <row r="60" spans="1:2" x14ac:dyDescent="0.3">
      <c r="A60" s="263" t="s">
        <v>647</v>
      </c>
      <c r="B60" t="s">
        <v>648</v>
      </c>
    </row>
    <row r="61" spans="1:2" x14ac:dyDescent="0.3">
      <c r="A61" s="263" t="s">
        <v>649</v>
      </c>
      <c r="B61" t="s">
        <v>650</v>
      </c>
    </row>
    <row r="62" spans="1:2" x14ac:dyDescent="0.3">
      <c r="A62" s="263" t="s">
        <v>651</v>
      </c>
      <c r="B62" t="s">
        <v>652</v>
      </c>
    </row>
    <row r="63" spans="1:2" x14ac:dyDescent="0.3">
      <c r="A63" s="263" t="s">
        <v>653</v>
      </c>
      <c r="B63" t="s">
        <v>654</v>
      </c>
    </row>
    <row r="64" spans="1:2" x14ac:dyDescent="0.3">
      <c r="A64" s="263" t="s">
        <v>655</v>
      </c>
      <c r="B64" t="s">
        <v>656</v>
      </c>
    </row>
    <row r="65" spans="1:2" x14ac:dyDescent="0.3">
      <c r="A65" s="263" t="s">
        <v>657</v>
      </c>
      <c r="B65" t="s">
        <v>658</v>
      </c>
    </row>
    <row r="66" spans="1:2" x14ac:dyDescent="0.3">
      <c r="A66" s="263" t="s">
        <v>659</v>
      </c>
      <c r="B66" t="s">
        <v>660</v>
      </c>
    </row>
    <row r="67" spans="1:2" x14ac:dyDescent="0.3">
      <c r="A67" s="263" t="s">
        <v>661</v>
      </c>
      <c r="B67" t="s">
        <v>662</v>
      </c>
    </row>
    <row r="68" spans="1:2" x14ac:dyDescent="0.3">
      <c r="A68" s="263" t="s">
        <v>663</v>
      </c>
      <c r="B68" t="s">
        <v>664</v>
      </c>
    </row>
    <row r="69" spans="1:2" x14ac:dyDescent="0.3">
      <c r="A69" s="263" t="s">
        <v>665</v>
      </c>
      <c r="B69" t="s">
        <v>666</v>
      </c>
    </row>
    <row r="70" spans="1:2" x14ac:dyDescent="0.3">
      <c r="A70" s="263" t="s">
        <v>667</v>
      </c>
      <c r="B70" t="s">
        <v>668</v>
      </c>
    </row>
    <row r="71" spans="1:2" x14ac:dyDescent="0.3">
      <c r="A71" s="263" t="s">
        <v>669</v>
      </c>
      <c r="B71" t="s">
        <v>670</v>
      </c>
    </row>
    <row r="72" spans="1:2" x14ac:dyDescent="0.3">
      <c r="A72" s="263" t="s">
        <v>671</v>
      </c>
      <c r="B72" t="s">
        <v>672</v>
      </c>
    </row>
    <row r="73" spans="1:2" x14ac:dyDescent="0.3">
      <c r="A73" s="263" t="s">
        <v>673</v>
      </c>
      <c r="B73" t="s">
        <v>628</v>
      </c>
    </row>
    <row r="74" spans="1:2" x14ac:dyDescent="0.3">
      <c r="A74" s="263" t="s">
        <v>674</v>
      </c>
      <c r="B74" t="s">
        <v>626</v>
      </c>
    </row>
    <row r="75" spans="1:2" x14ac:dyDescent="0.3">
      <c r="A75" s="263" t="s">
        <v>675</v>
      </c>
      <c r="B75" t="s">
        <v>676</v>
      </c>
    </row>
    <row r="76" spans="1:2" x14ac:dyDescent="0.3">
      <c r="A76" s="263" t="s">
        <v>677</v>
      </c>
      <c r="B76" t="s">
        <v>678</v>
      </c>
    </row>
    <row r="77" spans="1:2" x14ac:dyDescent="0.3">
      <c r="A77" s="263" t="s">
        <v>679</v>
      </c>
      <c r="B77" t="s">
        <v>680</v>
      </c>
    </row>
    <row r="78" spans="1:2" x14ac:dyDescent="0.3">
      <c r="A78" s="263" t="s">
        <v>681</v>
      </c>
      <c r="B78" t="s">
        <v>682</v>
      </c>
    </row>
    <row r="79" spans="1:2" x14ac:dyDescent="0.3">
      <c r="A79" s="263" t="s">
        <v>683</v>
      </c>
      <c r="B79" t="s">
        <v>684</v>
      </c>
    </row>
    <row r="80" spans="1:2" x14ac:dyDescent="0.3">
      <c r="A80" s="263" t="s">
        <v>685</v>
      </c>
      <c r="B80" t="s">
        <v>686</v>
      </c>
    </row>
    <row r="81" spans="1:2" x14ac:dyDescent="0.3">
      <c r="A81" s="263" t="s">
        <v>687</v>
      </c>
      <c r="B81" t="s">
        <v>688</v>
      </c>
    </row>
    <row r="82" spans="1:2" x14ac:dyDescent="0.3">
      <c r="A82" s="263" t="s">
        <v>689</v>
      </c>
      <c r="B82" t="s">
        <v>690</v>
      </c>
    </row>
    <row r="83" spans="1:2" x14ac:dyDescent="0.3">
      <c r="A83" s="263" t="s">
        <v>691</v>
      </c>
      <c r="B83" t="s">
        <v>692</v>
      </c>
    </row>
    <row r="84" spans="1:2" x14ac:dyDescent="0.3">
      <c r="A84" s="263" t="s">
        <v>693</v>
      </c>
      <c r="B84" t="s">
        <v>694</v>
      </c>
    </row>
    <row r="85" spans="1:2" x14ac:dyDescent="0.3">
      <c r="A85" s="263" t="s">
        <v>695</v>
      </c>
      <c r="B85" t="s">
        <v>648</v>
      </c>
    </row>
    <row r="86" spans="1:2" x14ac:dyDescent="0.3">
      <c r="A86" s="263" t="s">
        <v>696</v>
      </c>
      <c r="B86" t="s">
        <v>697</v>
      </c>
    </row>
    <row r="87" spans="1:2" x14ac:dyDescent="0.3">
      <c r="A87" s="263" t="s">
        <v>698</v>
      </c>
      <c r="B87" t="s">
        <v>699</v>
      </c>
    </row>
    <row r="88" spans="1:2" x14ac:dyDescent="0.3">
      <c r="A88" s="263" t="s">
        <v>700</v>
      </c>
      <c r="B88" t="s">
        <v>701</v>
      </c>
    </row>
    <row r="89" spans="1:2" x14ac:dyDescent="0.3">
      <c r="A89" s="263" t="s">
        <v>702</v>
      </c>
      <c r="B89" t="s">
        <v>703</v>
      </c>
    </row>
    <row r="90" spans="1:2" x14ac:dyDescent="0.3">
      <c r="A90" s="263" t="s">
        <v>704</v>
      </c>
      <c r="B90" t="s">
        <v>705</v>
      </c>
    </row>
    <row r="91" spans="1:2" x14ac:dyDescent="0.3">
      <c r="A91" s="263" t="s">
        <v>706</v>
      </c>
      <c r="B91" t="s">
        <v>707</v>
      </c>
    </row>
    <row r="92" spans="1:2" x14ac:dyDescent="0.3">
      <c r="A92" s="263" t="s">
        <v>708</v>
      </c>
      <c r="B92" t="s">
        <v>709</v>
      </c>
    </row>
    <row r="93" spans="1:2" x14ac:dyDescent="0.3">
      <c r="A93" s="263" t="s">
        <v>710</v>
      </c>
      <c r="B93" t="s">
        <v>711</v>
      </c>
    </row>
    <row r="94" spans="1:2" x14ac:dyDescent="0.3">
      <c r="A94" s="263" t="s">
        <v>712</v>
      </c>
      <c r="B94" t="s">
        <v>713</v>
      </c>
    </row>
    <row r="95" spans="1:2" x14ac:dyDescent="0.3">
      <c r="A95" s="263" t="s">
        <v>714</v>
      </c>
      <c r="B95" t="s">
        <v>715</v>
      </c>
    </row>
    <row r="96" spans="1:2" x14ac:dyDescent="0.3">
      <c r="A96" s="263" t="s">
        <v>716</v>
      </c>
      <c r="B96" t="s">
        <v>717</v>
      </c>
    </row>
    <row r="97" spans="1:2" x14ac:dyDescent="0.3">
      <c r="A97" s="263" t="s">
        <v>718</v>
      </c>
      <c r="B97" t="s">
        <v>719</v>
      </c>
    </row>
    <row r="98" spans="1:2" x14ac:dyDescent="0.3">
      <c r="A98" s="263" t="s">
        <v>720</v>
      </c>
      <c r="B98" t="s">
        <v>721</v>
      </c>
    </row>
    <row r="99" spans="1:2" x14ac:dyDescent="0.3">
      <c r="A99" s="263" t="s">
        <v>722</v>
      </c>
      <c r="B99" t="s">
        <v>723</v>
      </c>
    </row>
    <row r="100" spans="1:2" x14ac:dyDescent="0.3">
      <c r="A100" s="263" t="s">
        <v>724</v>
      </c>
      <c r="B100" t="s">
        <v>725</v>
      </c>
    </row>
    <row r="101" spans="1:2" x14ac:dyDescent="0.3">
      <c r="A101" s="263" t="s">
        <v>726</v>
      </c>
      <c r="B101" t="s">
        <v>727</v>
      </c>
    </row>
    <row r="102" spans="1:2" x14ac:dyDescent="0.3">
      <c r="A102" s="263" t="s">
        <v>728</v>
      </c>
      <c r="B102" t="s">
        <v>729</v>
      </c>
    </row>
    <row r="103" spans="1:2" x14ac:dyDescent="0.3">
      <c r="A103" s="263" t="s">
        <v>730</v>
      </c>
      <c r="B103" t="s">
        <v>731</v>
      </c>
    </row>
    <row r="104" spans="1:2" x14ac:dyDescent="0.3">
      <c r="A104" s="263" t="s">
        <v>732</v>
      </c>
      <c r="B104" t="s">
        <v>733</v>
      </c>
    </row>
    <row r="105" spans="1:2" x14ac:dyDescent="0.3">
      <c r="A105" s="263" t="s">
        <v>734</v>
      </c>
      <c r="B105" t="s">
        <v>735</v>
      </c>
    </row>
    <row r="106" spans="1:2" x14ac:dyDescent="0.3">
      <c r="A106" s="263" t="s">
        <v>736</v>
      </c>
      <c r="B106" t="s">
        <v>737</v>
      </c>
    </row>
    <row r="107" spans="1:2" x14ac:dyDescent="0.3">
      <c r="A107" s="263" t="s">
        <v>738</v>
      </c>
      <c r="B107" t="s">
        <v>739</v>
      </c>
    </row>
    <row r="108" spans="1:2" x14ac:dyDescent="0.3">
      <c r="A108" s="263" t="s">
        <v>740</v>
      </c>
      <c r="B108" t="s">
        <v>741</v>
      </c>
    </row>
    <row r="109" spans="1:2" x14ac:dyDescent="0.3">
      <c r="A109" s="263" t="s">
        <v>742</v>
      </c>
      <c r="B109" t="s">
        <v>743</v>
      </c>
    </row>
    <row r="110" spans="1:2" x14ac:dyDescent="0.3">
      <c r="A110" s="263" t="s">
        <v>744</v>
      </c>
      <c r="B110" t="s">
        <v>745</v>
      </c>
    </row>
    <row r="111" spans="1:2" x14ac:dyDescent="0.3">
      <c r="A111" s="263" t="s">
        <v>746</v>
      </c>
      <c r="B111" t="s">
        <v>747</v>
      </c>
    </row>
    <row r="112" spans="1:2" x14ac:dyDescent="0.3">
      <c r="A112" s="263" t="s">
        <v>748</v>
      </c>
      <c r="B112" t="s">
        <v>749</v>
      </c>
    </row>
    <row r="113" spans="1:2" x14ac:dyDescent="0.3">
      <c r="A113" s="263" t="s">
        <v>750</v>
      </c>
      <c r="B113" t="s">
        <v>751</v>
      </c>
    </row>
    <row r="114" spans="1:2" x14ac:dyDescent="0.3">
      <c r="A114" s="263" t="s">
        <v>752</v>
      </c>
      <c r="B114" t="s">
        <v>753</v>
      </c>
    </row>
    <row r="115" spans="1:2" x14ac:dyDescent="0.3">
      <c r="A115" s="263" t="s">
        <v>754</v>
      </c>
      <c r="B115" t="s">
        <v>755</v>
      </c>
    </row>
    <row r="116" spans="1:2" x14ac:dyDescent="0.3">
      <c r="A116" s="263" t="s">
        <v>756</v>
      </c>
      <c r="B116" t="s">
        <v>755</v>
      </c>
    </row>
    <row r="117" spans="1:2" x14ac:dyDescent="0.3">
      <c r="A117" s="263" t="s">
        <v>757</v>
      </c>
      <c r="B117" t="s">
        <v>758</v>
      </c>
    </row>
    <row r="118" spans="1:2" x14ac:dyDescent="0.3">
      <c r="A118" s="263" t="s">
        <v>759</v>
      </c>
      <c r="B118" t="s">
        <v>760</v>
      </c>
    </row>
    <row r="119" spans="1:2" x14ac:dyDescent="0.3">
      <c r="A119" s="263" t="s">
        <v>761</v>
      </c>
      <c r="B119" t="s">
        <v>762</v>
      </c>
    </row>
    <row r="120" spans="1:2" x14ac:dyDescent="0.3">
      <c r="A120" s="263" t="s">
        <v>763</v>
      </c>
      <c r="B120" t="s">
        <v>764</v>
      </c>
    </row>
    <row r="121" spans="1:2" x14ac:dyDescent="0.3">
      <c r="A121" s="263" t="s">
        <v>765</v>
      </c>
      <c r="B121" t="s">
        <v>766</v>
      </c>
    </row>
    <row r="122" spans="1:2" x14ac:dyDescent="0.3">
      <c r="A122" s="263" t="s">
        <v>767</v>
      </c>
      <c r="B122" t="s">
        <v>768</v>
      </c>
    </row>
    <row r="123" spans="1:2" x14ac:dyDescent="0.3">
      <c r="A123" s="263" t="s">
        <v>769</v>
      </c>
      <c r="B123" t="s">
        <v>770</v>
      </c>
    </row>
    <row r="124" spans="1:2" x14ac:dyDescent="0.3">
      <c r="A124" s="263" t="s">
        <v>771</v>
      </c>
      <c r="B124" t="s">
        <v>772</v>
      </c>
    </row>
    <row r="125" spans="1:2" x14ac:dyDescent="0.3">
      <c r="A125" s="263" t="s">
        <v>773</v>
      </c>
      <c r="B125" t="s">
        <v>774</v>
      </c>
    </row>
    <row r="126" spans="1:2" x14ac:dyDescent="0.3">
      <c r="A126" s="263" t="s">
        <v>775</v>
      </c>
      <c r="B126" t="s">
        <v>776</v>
      </c>
    </row>
    <row r="127" spans="1:2" x14ac:dyDescent="0.3">
      <c r="A127" s="263" t="s">
        <v>777</v>
      </c>
      <c r="B127" t="s">
        <v>778</v>
      </c>
    </row>
    <row r="128" spans="1:2" x14ac:dyDescent="0.3">
      <c r="A128" s="263" t="s">
        <v>779</v>
      </c>
      <c r="B128" t="s">
        <v>780</v>
      </c>
    </row>
    <row r="129" spans="1:2" x14ac:dyDescent="0.3">
      <c r="A129" s="263" t="s">
        <v>781</v>
      </c>
      <c r="B129" t="s">
        <v>782</v>
      </c>
    </row>
    <row r="130" spans="1:2" x14ac:dyDescent="0.3">
      <c r="A130" s="263" t="s">
        <v>783</v>
      </c>
      <c r="B130" t="s">
        <v>784</v>
      </c>
    </row>
    <row r="131" spans="1:2" x14ac:dyDescent="0.3">
      <c r="A131" s="263" t="s">
        <v>785</v>
      </c>
      <c r="B131" t="s">
        <v>786</v>
      </c>
    </row>
    <row r="132" spans="1:2" x14ac:dyDescent="0.3">
      <c r="A132" s="263" t="s">
        <v>787</v>
      </c>
      <c r="B132" t="s">
        <v>788</v>
      </c>
    </row>
    <row r="133" spans="1:2" x14ac:dyDescent="0.3">
      <c r="A133" s="263" t="s">
        <v>789</v>
      </c>
      <c r="B133" t="s">
        <v>790</v>
      </c>
    </row>
    <row r="134" spans="1:2" x14ac:dyDescent="0.3">
      <c r="A134" s="263" t="s">
        <v>791</v>
      </c>
      <c r="B134" t="s">
        <v>791</v>
      </c>
    </row>
    <row r="135" spans="1:2" x14ac:dyDescent="0.3">
      <c r="A135" s="263" t="s">
        <v>792</v>
      </c>
      <c r="B135" t="s">
        <v>793</v>
      </c>
    </row>
    <row r="136" spans="1:2" x14ac:dyDescent="0.3">
      <c r="A136" s="263" t="s">
        <v>794</v>
      </c>
      <c r="B136" t="s">
        <v>795</v>
      </c>
    </row>
    <row r="137" spans="1:2" x14ac:dyDescent="0.3">
      <c r="A137" s="263" t="s">
        <v>796</v>
      </c>
      <c r="B137" t="s">
        <v>797</v>
      </c>
    </row>
    <row r="138" spans="1:2" x14ac:dyDescent="0.3">
      <c r="A138" s="263" t="s">
        <v>798</v>
      </c>
      <c r="B138" t="s">
        <v>799</v>
      </c>
    </row>
    <row r="139" spans="1:2" x14ac:dyDescent="0.3">
      <c r="A139" s="263" t="s">
        <v>800</v>
      </c>
      <c r="B139" t="s">
        <v>801</v>
      </c>
    </row>
    <row r="140" spans="1:2" x14ac:dyDescent="0.3">
      <c r="A140" s="263" t="s">
        <v>802</v>
      </c>
      <c r="B140" t="s">
        <v>803</v>
      </c>
    </row>
    <row r="141" spans="1:2" x14ac:dyDescent="0.3">
      <c r="A141" s="263" t="s">
        <v>804</v>
      </c>
      <c r="B141" t="s">
        <v>805</v>
      </c>
    </row>
    <row r="142" spans="1:2" x14ac:dyDescent="0.3">
      <c r="A142" s="263" t="s">
        <v>806</v>
      </c>
      <c r="B142" t="s">
        <v>807</v>
      </c>
    </row>
    <row r="143" spans="1:2" x14ac:dyDescent="0.3">
      <c r="A143" s="263" t="s">
        <v>808</v>
      </c>
      <c r="B143" t="s">
        <v>809</v>
      </c>
    </row>
    <row r="144" spans="1:2" x14ac:dyDescent="0.3">
      <c r="A144" s="263" t="s">
        <v>810</v>
      </c>
      <c r="B144" t="s">
        <v>811</v>
      </c>
    </row>
    <row r="145" spans="1:2" x14ac:dyDescent="0.3">
      <c r="A145" s="263" t="s">
        <v>812</v>
      </c>
      <c r="B145" t="s">
        <v>813</v>
      </c>
    </row>
    <row r="146" spans="1:2" x14ac:dyDescent="0.3">
      <c r="A146" s="263" t="s">
        <v>814</v>
      </c>
      <c r="B146" t="s">
        <v>815</v>
      </c>
    </row>
    <row r="147" spans="1:2" x14ac:dyDescent="0.3">
      <c r="A147" s="263" t="s">
        <v>816</v>
      </c>
      <c r="B147" t="s">
        <v>654</v>
      </c>
    </row>
    <row r="148" spans="1:2" x14ac:dyDescent="0.3">
      <c r="A148" s="263" t="s">
        <v>817</v>
      </c>
      <c r="B148" t="s">
        <v>656</v>
      </c>
    </row>
    <row r="149" spans="1:2" x14ac:dyDescent="0.3">
      <c r="A149" s="263" t="s">
        <v>818</v>
      </c>
      <c r="B149" t="s">
        <v>819</v>
      </c>
    </row>
    <row r="150" spans="1:2" x14ac:dyDescent="0.3">
      <c r="A150" s="263" t="s">
        <v>820</v>
      </c>
      <c r="B150" t="s">
        <v>821</v>
      </c>
    </row>
    <row r="151" spans="1:2" x14ac:dyDescent="0.3">
      <c r="A151" s="263" t="s">
        <v>822</v>
      </c>
      <c r="B151" t="s">
        <v>823</v>
      </c>
    </row>
    <row r="152" spans="1:2" x14ac:dyDescent="0.3">
      <c r="A152" s="263" t="s">
        <v>824</v>
      </c>
      <c r="B152" t="s">
        <v>825</v>
      </c>
    </row>
    <row r="153" spans="1:2" x14ac:dyDescent="0.3">
      <c r="A153" s="263" t="s">
        <v>826</v>
      </c>
      <c r="B153" t="s">
        <v>827</v>
      </c>
    </row>
    <row r="154" spans="1:2" x14ac:dyDescent="0.3">
      <c r="A154" s="263" t="s">
        <v>828</v>
      </c>
      <c r="B154" t="s">
        <v>829</v>
      </c>
    </row>
    <row r="155" spans="1:2" x14ac:dyDescent="0.3">
      <c r="A155" s="263" t="s">
        <v>830</v>
      </c>
      <c r="B155" t="s">
        <v>831</v>
      </c>
    </row>
    <row r="156" spans="1:2" x14ac:dyDescent="0.3">
      <c r="A156" s="263" t="s">
        <v>832</v>
      </c>
      <c r="B156" t="s">
        <v>833</v>
      </c>
    </row>
    <row r="157" spans="1:2" x14ac:dyDescent="0.3">
      <c r="A157" s="263" t="s">
        <v>834</v>
      </c>
      <c r="B157" t="s">
        <v>835</v>
      </c>
    </row>
    <row r="158" spans="1:2" x14ac:dyDescent="0.3">
      <c r="A158" s="263" t="s">
        <v>836</v>
      </c>
      <c r="B158" t="s">
        <v>837</v>
      </c>
    </row>
    <row r="159" spans="1:2" x14ac:dyDescent="0.3">
      <c r="A159" s="263" t="s">
        <v>838</v>
      </c>
      <c r="B159" t="s">
        <v>839</v>
      </c>
    </row>
    <row r="160" spans="1:2" x14ac:dyDescent="0.3">
      <c r="A160" s="263" t="s">
        <v>840</v>
      </c>
      <c r="B160" t="s">
        <v>841</v>
      </c>
    </row>
    <row r="161" spans="1:2" x14ac:dyDescent="0.3">
      <c r="A161" s="263" t="s">
        <v>842</v>
      </c>
      <c r="B161" t="s">
        <v>843</v>
      </c>
    </row>
    <row r="162" spans="1:2" x14ac:dyDescent="0.3">
      <c r="A162" s="263" t="s">
        <v>844</v>
      </c>
      <c r="B162" t="s">
        <v>845</v>
      </c>
    </row>
    <row r="163" spans="1:2" x14ac:dyDescent="0.3">
      <c r="A163" s="263" t="s">
        <v>846</v>
      </c>
      <c r="B163" t="s">
        <v>847</v>
      </c>
    </row>
    <row r="164" spans="1:2" x14ac:dyDescent="0.3">
      <c r="A164" s="263" t="s">
        <v>848</v>
      </c>
      <c r="B164" t="s">
        <v>849</v>
      </c>
    </row>
    <row r="165" spans="1:2" x14ac:dyDescent="0.3">
      <c r="A165" s="263" t="s">
        <v>850</v>
      </c>
      <c r="B165" t="s">
        <v>851</v>
      </c>
    </row>
    <row r="166" spans="1:2" x14ac:dyDescent="0.3">
      <c r="A166" s="263" t="s">
        <v>852</v>
      </c>
      <c r="B166" t="s">
        <v>853</v>
      </c>
    </row>
    <row r="167" spans="1:2" x14ac:dyDescent="0.3">
      <c r="A167" s="263" t="s">
        <v>854</v>
      </c>
      <c r="B167" t="s">
        <v>855</v>
      </c>
    </row>
    <row r="168" spans="1:2" x14ac:dyDescent="0.3">
      <c r="A168" s="263" t="s">
        <v>856</v>
      </c>
      <c r="B168" t="s">
        <v>857</v>
      </c>
    </row>
    <row r="169" spans="1:2" x14ac:dyDescent="0.3">
      <c r="A169" s="263" t="s">
        <v>858</v>
      </c>
      <c r="B169" t="s">
        <v>859</v>
      </c>
    </row>
    <row r="170" spans="1:2" x14ac:dyDescent="0.3">
      <c r="A170" s="263" t="s">
        <v>860</v>
      </c>
      <c r="B170" t="s">
        <v>861</v>
      </c>
    </row>
    <row r="171" spans="1:2" x14ac:dyDescent="0.3">
      <c r="A171" s="263" t="s">
        <v>862</v>
      </c>
      <c r="B171" t="s">
        <v>863</v>
      </c>
    </row>
    <row r="172" spans="1:2" x14ac:dyDescent="0.3">
      <c r="A172" s="263" t="s">
        <v>864</v>
      </c>
      <c r="B172" t="s">
        <v>865</v>
      </c>
    </row>
    <row r="173" spans="1:2" x14ac:dyDescent="0.3">
      <c r="A173" s="263" t="s">
        <v>866</v>
      </c>
      <c r="B173" t="s">
        <v>867</v>
      </c>
    </row>
    <row r="174" spans="1:2" x14ac:dyDescent="0.3">
      <c r="A174" s="263" t="s">
        <v>868</v>
      </c>
      <c r="B174" t="s">
        <v>869</v>
      </c>
    </row>
    <row r="175" spans="1:2" x14ac:dyDescent="0.3">
      <c r="A175" s="263" t="s">
        <v>870</v>
      </c>
      <c r="B175" t="s">
        <v>871</v>
      </c>
    </row>
    <row r="176" spans="1:2" x14ac:dyDescent="0.3">
      <c r="A176" s="263" t="s">
        <v>872</v>
      </c>
      <c r="B176" t="s">
        <v>873</v>
      </c>
    </row>
    <row r="177" spans="1:2" x14ac:dyDescent="0.3">
      <c r="A177" s="263" t="s">
        <v>874</v>
      </c>
      <c r="B177" t="s">
        <v>875</v>
      </c>
    </row>
    <row r="178" spans="1:2" x14ac:dyDescent="0.3">
      <c r="A178" s="263" t="s">
        <v>876</v>
      </c>
      <c r="B178" t="s">
        <v>877</v>
      </c>
    </row>
    <row r="179" spans="1:2" x14ac:dyDescent="0.3">
      <c r="A179" s="263" t="s">
        <v>878</v>
      </c>
      <c r="B179" t="s">
        <v>879</v>
      </c>
    </row>
    <row r="180" spans="1:2" x14ac:dyDescent="0.3">
      <c r="A180" s="263" t="s">
        <v>880</v>
      </c>
      <c r="B180" t="s">
        <v>881</v>
      </c>
    </row>
    <row r="181" spans="1:2" x14ac:dyDescent="0.3">
      <c r="A181" s="263" t="s">
        <v>882</v>
      </c>
      <c r="B181" t="s">
        <v>883</v>
      </c>
    </row>
    <row r="182" spans="1:2" x14ac:dyDescent="0.3">
      <c r="A182" s="263" t="s">
        <v>884</v>
      </c>
      <c r="B182" t="s">
        <v>885</v>
      </c>
    </row>
    <row r="183" spans="1:2" x14ac:dyDescent="0.3">
      <c r="A183" s="263" t="s">
        <v>886</v>
      </c>
      <c r="B183" t="s">
        <v>887</v>
      </c>
    </row>
    <row r="184" spans="1:2" x14ac:dyDescent="0.3">
      <c r="A184" s="263" t="s">
        <v>888</v>
      </c>
      <c r="B184" t="s">
        <v>889</v>
      </c>
    </row>
    <row r="185" spans="1:2" x14ac:dyDescent="0.3">
      <c r="A185" s="263" t="s">
        <v>890</v>
      </c>
      <c r="B185" t="s">
        <v>891</v>
      </c>
    </row>
  </sheetData>
  <pageMargins left="0.7" right="0.7" top="0.75" bottom="0.75" header="0.3" footer="0.3"/>
  <tableParts count="1">
    <tablePart r:id="rId1"/>
  </tableParts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9676E22B47CC48CBA49BA16071DCFF24" version="1.0.0">
  <systemFields>
    <field name="Objective-Id">
      <value order="0">A7952919</value>
    </field>
    <field name="Objective-Title">
      <value order="0">Salary estimate template 2024-25 - EA 2022 Y3</value>
    </field>
    <field name="Objective-Description">
      <value order="0"/>
    </field>
    <field name="Objective-CreationStamp">
      <value order="0">2020-09-09T03:10:43Z</value>
    </field>
    <field name="Objective-IsApproved">
      <value order="0">false</value>
    </field>
    <field name="Objective-IsPublished">
      <value order="0">true</value>
    </field>
    <field name="Objective-DatePublished">
      <value order="0">2025-09-04T00:46:56Z</value>
    </field>
    <field name="Objective-ModificationStamp">
      <value order="0">2025-09-04T00:46:56Z</value>
    </field>
    <field name="Objective-Owner">
      <value order="0">Kirsten Geri</value>
    </field>
    <field name="Objective-Path">
      <value order="0">Objective Global Folder:..Financial Management:Financial Planning:Financial Documentation</value>
    </field>
    <field name="Objective-Parent">
      <value order="0">Financial Documentation</value>
    </field>
    <field name="Objective-State">
      <value order="0">Published</value>
    </field>
    <field name="Objective-VersionId">
      <value order="0">vA15590662</value>
    </field>
    <field name="Objective-Version">
      <value order="0">30.0</value>
    </field>
    <field name="Objective-VersionNumber">
      <value order="0">30</value>
    </field>
    <field name="Objective-VersionComment">
      <value order="0"/>
    </field>
    <field name="Objective-FileNumber">
      <value order="0">qA430477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Management Accounting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2024-25 FY - EA 2022 Y3</vt:lpstr>
      <vt:lpstr>EA 2022</vt:lpstr>
      <vt:lpstr>Rates</vt:lpstr>
      <vt:lpstr>SGC</vt:lpstr>
      <vt:lpstr>Phasing</vt:lpstr>
      <vt:lpstr>Ctt override rate calc</vt:lpstr>
      <vt:lpstr>EA 2022 Bandings Y1 &amp; Y2</vt:lpstr>
      <vt:lpstr>Leave Codes</vt:lpstr>
      <vt:lpstr>Allowance Codes</vt:lpstr>
      <vt:lpstr>'2024-25 FY - EA 2022 Y3'!Banding_Level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mhanse</dc:creator>
  <cp:lastModifiedBy>Kirsten Geri</cp:lastModifiedBy>
  <cp:lastPrinted>2016-11-16T00:42:46Z</cp:lastPrinted>
  <dcterms:created xsi:type="dcterms:W3CDTF">2014-10-29T03:34:37Z</dcterms:created>
  <dcterms:modified xsi:type="dcterms:W3CDTF">2025-09-04T01:46:49Z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A7952919</vt:lpwstr>
  </property>
  <property fmtid="{D5CDD505-2E9C-101B-9397-08002B2CF9AE}" pid="4" name="Objective-Title">
    <vt:lpwstr>Salary estimate template 2024-25 - EA 2022 Y3</vt:lpwstr>
  </property>
  <property fmtid="{D5CDD505-2E9C-101B-9397-08002B2CF9AE}" pid="5" name="Objective-Comment">
    <vt:lpwstr/>
  </property>
  <property fmtid="{D5CDD505-2E9C-101B-9397-08002B2CF9AE}" pid="6" name="Objective-CreationStamp">
    <vt:filetime>2020-09-09T03:10:43Z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2025-09-04T00:46:56Z</vt:filetime>
  </property>
  <property fmtid="{D5CDD505-2E9C-101B-9397-08002B2CF9AE}" pid="10" name="Objective-ModificationStamp">
    <vt:filetime>2025-09-04T00:46:56Z</vt:filetime>
  </property>
  <property fmtid="{D5CDD505-2E9C-101B-9397-08002B2CF9AE}" pid="11" name="Objective-Owner">
    <vt:lpwstr>Kirsten Geri</vt:lpwstr>
  </property>
  <property fmtid="{D5CDD505-2E9C-101B-9397-08002B2CF9AE}" pid="12" name="Objective-Path">
    <vt:lpwstr>Objective Global Folder:..Financial Management:Financial Planning:Financial Documentation</vt:lpwstr>
  </property>
  <property fmtid="{D5CDD505-2E9C-101B-9397-08002B2CF9AE}" pid="13" name="Objective-Parent">
    <vt:lpwstr>Financial Documentation</vt:lpwstr>
  </property>
  <property fmtid="{D5CDD505-2E9C-101B-9397-08002B2CF9AE}" pid="14" name="Objective-State">
    <vt:lpwstr>Published</vt:lpwstr>
  </property>
  <property fmtid="{D5CDD505-2E9C-101B-9397-08002B2CF9AE}" pid="15" name="Objective-Version">
    <vt:lpwstr>30.0</vt:lpwstr>
  </property>
  <property fmtid="{D5CDD505-2E9C-101B-9397-08002B2CF9AE}" pid="16" name="Objective-VersionNumber">
    <vt:r8>30</vt:r8>
  </property>
  <property fmtid="{D5CDD505-2E9C-101B-9397-08002B2CF9AE}" pid="17" name="Objective-VersionComment">
    <vt:lpwstr/>
  </property>
  <property fmtid="{D5CDD505-2E9C-101B-9397-08002B2CF9AE}" pid="18" name="Objective-FileNumber">
    <vt:lpwstr>qA430477</vt:lpwstr>
  </property>
  <property fmtid="{D5CDD505-2E9C-101B-9397-08002B2CF9AE}" pid="19" name="Objective-Classification">
    <vt:lpwstr/>
  </property>
  <property fmtid="{D5CDD505-2E9C-101B-9397-08002B2CF9AE}" pid="20" name="Objective-Caveats">
    <vt:lpwstr/>
  </property>
  <property fmtid="{D5CDD505-2E9C-101B-9397-08002B2CF9AE}" pid="21" name="Objective-Business Unit [system]">
    <vt:lpwstr>Financial Services</vt:lpwstr>
  </property>
  <property fmtid="{D5CDD505-2E9C-101B-9397-08002B2CF9AE}" pid="22" name="Objective-Corporate Document Type [system]">
    <vt:lpwstr/>
  </property>
  <property fmtid="{D5CDD505-2E9C-101B-9397-08002B2CF9AE}" pid="23" name="Objective-Records Audit Vital Record [system]">
    <vt:lpwstr/>
  </property>
  <property fmtid="{D5CDD505-2E9C-101B-9397-08002B2CF9AE}" pid="24" name="Objective-Records Audit Date [system]">
    <vt:lpwstr/>
  </property>
  <property fmtid="{D5CDD505-2E9C-101B-9397-08002B2CF9AE}" pid="25" name="Objective-Description">
    <vt:lpwstr/>
  </property>
  <property fmtid="{D5CDD505-2E9C-101B-9397-08002B2CF9AE}" pid="26" name="Objective-VersionId">
    <vt:lpwstr>vA15590662</vt:lpwstr>
  </property>
  <property fmtid="{D5CDD505-2E9C-101B-9397-08002B2CF9AE}" pid="27" name="Objective-Business Unit">
    <vt:lpwstr>Management Accounting</vt:lpwstr>
  </property>
  <property fmtid="{D5CDD505-2E9C-101B-9397-08002B2CF9AE}" pid="28" name="Objective-Corporate Document Type">
    <vt:lpwstr/>
  </property>
  <property fmtid="{D5CDD505-2E9C-101B-9397-08002B2CF9AE}" pid="29" name="Objective-Records Audit Date">
    <vt:lpwstr/>
  </property>
  <property fmtid="{D5CDD505-2E9C-101B-9397-08002B2CF9AE}" pid="30" name="Objective-Records Audit Vital Record">
    <vt:lpwstr/>
  </property>
  <property fmtid="{D5CDD505-2E9C-101B-9397-08002B2CF9AE}" pid="31" name="Objective-Connect Creator">
    <vt:lpwstr/>
  </property>
  <property fmtid="{D5CDD505-2E9C-101B-9397-08002B2CF9AE}" pid="32" name="Objective-Bulk Update Status">
    <vt:lpwstr/>
  </property>
</Properties>
</file>